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390" windowWidth="18915" windowHeight="8205"/>
  </bookViews>
  <sheets>
    <sheet name="stage1" sheetId="1" r:id="rId1"/>
    <sheet name="stage2" sheetId="2" r:id="rId2"/>
    <sheet name="stage3" sheetId="3" r:id="rId3"/>
    <sheet name="stage4" sheetId="4" r:id="rId4"/>
    <sheet name="notas gerais" sheetId="5" r:id="rId5"/>
  </sheets>
  <calcPr calcId="125725"/>
</workbook>
</file>

<file path=xl/calcChain.xml><?xml version="1.0" encoding="utf-8"?>
<calcChain xmlns="http://schemas.openxmlformats.org/spreadsheetml/2006/main">
  <c r="P27" i="4"/>
  <c r="E27"/>
  <c r="H27" s="1"/>
  <c r="C27"/>
  <c r="O27" s="1"/>
  <c r="P23"/>
  <c r="E23"/>
  <c r="H23" s="1"/>
  <c r="C23"/>
  <c r="O23" s="1"/>
  <c r="P19"/>
  <c r="O19"/>
  <c r="Q19" s="1"/>
  <c r="Q23" s="1"/>
  <c r="Q27" s="1"/>
  <c r="J19"/>
  <c r="M19" s="1"/>
  <c r="H19"/>
  <c r="I19" s="1"/>
  <c r="G19"/>
  <c r="U19" s="1"/>
  <c r="C10"/>
  <c r="Z4"/>
  <c r="Z5" s="1"/>
  <c r="Z6" s="1"/>
  <c r="Z8" s="1"/>
  <c r="Z9" s="1"/>
  <c r="Z10" s="1"/>
  <c r="Z12" s="1"/>
  <c r="Z13" s="1"/>
  <c r="Z14" s="1"/>
  <c r="Z16" s="1"/>
  <c r="Z17" s="1"/>
  <c r="Z18" s="1"/>
  <c r="Z19" s="1"/>
  <c r="Z20" s="1"/>
  <c r="Z21" s="1"/>
  <c r="Z23" s="1"/>
  <c r="Z24" s="1"/>
  <c r="Z25" s="1"/>
  <c r="Z27" s="1"/>
  <c r="W4"/>
  <c r="W5" s="1"/>
  <c r="W6" s="1"/>
  <c r="W8" s="1"/>
  <c r="W9" s="1"/>
  <c r="W10" s="1"/>
  <c r="W12" s="1"/>
  <c r="W13" s="1"/>
  <c r="W14" s="1"/>
  <c r="W16" s="1"/>
  <c r="W17" s="1"/>
  <c r="W18" s="1"/>
  <c r="W19" s="1"/>
  <c r="W20" s="1"/>
  <c r="W21" s="1"/>
  <c r="W23" s="1"/>
  <c r="W24" s="1"/>
  <c r="W25" s="1"/>
  <c r="W27" s="1"/>
  <c r="P91" i="3"/>
  <c r="J91"/>
  <c r="E91"/>
  <c r="H91" s="1"/>
  <c r="C91"/>
  <c r="O91" s="1"/>
  <c r="P87"/>
  <c r="E87"/>
  <c r="H87" s="1"/>
  <c r="C87"/>
  <c r="O87" s="1"/>
  <c r="P83"/>
  <c r="E83"/>
  <c r="H83" s="1"/>
  <c r="C83"/>
  <c r="O83" s="1"/>
  <c r="P79"/>
  <c r="E79"/>
  <c r="H79" s="1"/>
  <c r="C79"/>
  <c r="O79" s="1"/>
  <c r="P75"/>
  <c r="E75"/>
  <c r="H75" s="1"/>
  <c r="C75"/>
  <c r="O75" s="1"/>
  <c r="P71"/>
  <c r="E71"/>
  <c r="H71" s="1"/>
  <c r="C71"/>
  <c r="O71" s="1"/>
  <c r="P67"/>
  <c r="E67"/>
  <c r="H67" s="1"/>
  <c r="C67"/>
  <c r="O67" s="1"/>
  <c r="P63"/>
  <c r="E63"/>
  <c r="H63" s="1"/>
  <c r="C63"/>
  <c r="O63" s="1"/>
  <c r="P59"/>
  <c r="E59"/>
  <c r="H59" s="1"/>
  <c r="C59"/>
  <c r="O59" s="1"/>
  <c r="P55"/>
  <c r="E55"/>
  <c r="H55" s="1"/>
  <c r="C55"/>
  <c r="O55" s="1"/>
  <c r="P51"/>
  <c r="E51"/>
  <c r="H51" s="1"/>
  <c r="C51"/>
  <c r="O51" s="1"/>
  <c r="P47"/>
  <c r="E47"/>
  <c r="H47" s="1"/>
  <c r="C47"/>
  <c r="O47" s="1"/>
  <c r="P43"/>
  <c r="E43"/>
  <c r="H43" s="1"/>
  <c r="C43"/>
  <c r="O43" s="1"/>
  <c r="P39"/>
  <c r="E39"/>
  <c r="H39" s="1"/>
  <c r="C39"/>
  <c r="O39" s="1"/>
  <c r="P35"/>
  <c r="E35"/>
  <c r="H35" s="1"/>
  <c r="C35"/>
  <c r="O35" s="1"/>
  <c r="Z31"/>
  <c r="Z32" s="1"/>
  <c r="Z33" s="1"/>
  <c r="Z35" s="1"/>
  <c r="Z36" s="1"/>
  <c r="Z37" s="1"/>
  <c r="Z39" s="1"/>
  <c r="Z40" s="1"/>
  <c r="Z41" s="1"/>
  <c r="Z43" s="1"/>
  <c r="Z44" s="1"/>
  <c r="Z45" s="1"/>
  <c r="Z47" s="1"/>
  <c r="Z48" s="1"/>
  <c r="Z49" s="1"/>
  <c r="Z51" s="1"/>
  <c r="Z52" s="1"/>
  <c r="Z53" s="1"/>
  <c r="Z55" s="1"/>
  <c r="W31"/>
  <c r="W32" s="1"/>
  <c r="W33" s="1"/>
  <c r="W35" s="1"/>
  <c r="W36" s="1"/>
  <c r="W37" s="1"/>
  <c r="W39" s="1"/>
  <c r="W40" s="1"/>
  <c r="W41" s="1"/>
  <c r="W43" s="1"/>
  <c r="W44" s="1"/>
  <c r="W45" s="1"/>
  <c r="W47" s="1"/>
  <c r="W48" s="1"/>
  <c r="W49" s="1"/>
  <c r="W51" s="1"/>
  <c r="W52" s="1"/>
  <c r="W53" s="1"/>
  <c r="W55" s="1"/>
  <c r="P31"/>
  <c r="E31"/>
  <c r="H31" s="1"/>
  <c r="C31"/>
  <c r="O31" s="1"/>
  <c r="P27"/>
  <c r="E27"/>
  <c r="H27" s="1"/>
  <c r="C27"/>
  <c r="O27" s="1"/>
  <c r="P23"/>
  <c r="E23"/>
  <c r="H23" s="1"/>
  <c r="C23"/>
  <c r="O23" s="1"/>
  <c r="P19"/>
  <c r="O19"/>
  <c r="Q19" s="1"/>
  <c r="Q23" s="1"/>
  <c r="Q27" s="1"/>
  <c r="Q31" s="1"/>
  <c r="Q35" s="1"/>
  <c r="Q39" s="1"/>
  <c r="Q43" s="1"/>
  <c r="Q47" s="1"/>
  <c r="Q51" s="1"/>
  <c r="Q55" s="1"/>
  <c r="Q59" s="1"/>
  <c r="Q63" s="1"/>
  <c r="Q67" s="1"/>
  <c r="Q71" s="1"/>
  <c r="Q75" s="1"/>
  <c r="Q79" s="1"/>
  <c r="Q83" s="1"/>
  <c r="Q87" s="1"/>
  <c r="Q91" s="1"/>
  <c r="M19"/>
  <c r="J19"/>
  <c r="H19"/>
  <c r="G19"/>
  <c r="I19" s="1"/>
  <c r="C10"/>
  <c r="P71" i="2"/>
  <c r="J71"/>
  <c r="E71"/>
  <c r="H71" s="1"/>
  <c r="C71"/>
  <c r="O71" s="1"/>
  <c r="P67"/>
  <c r="J67"/>
  <c r="E67"/>
  <c r="H67" s="1"/>
  <c r="C67"/>
  <c r="O67" s="1"/>
  <c r="P63"/>
  <c r="J63"/>
  <c r="E63"/>
  <c r="H63" s="1"/>
  <c r="C63"/>
  <c r="O63" s="1"/>
  <c r="P59"/>
  <c r="J59"/>
  <c r="H59"/>
  <c r="E59"/>
  <c r="C59"/>
  <c r="O59" s="1"/>
  <c r="P55"/>
  <c r="J55"/>
  <c r="H55"/>
  <c r="E55"/>
  <c r="C55"/>
  <c r="O55" s="1"/>
  <c r="P51"/>
  <c r="J51"/>
  <c r="H51"/>
  <c r="E51"/>
  <c r="C51"/>
  <c r="O51" s="1"/>
  <c r="P47"/>
  <c r="J47"/>
  <c r="E47"/>
  <c r="H47" s="1"/>
  <c r="C47"/>
  <c r="P43"/>
  <c r="J43"/>
  <c r="E43"/>
  <c r="H43" s="1"/>
  <c r="C43"/>
  <c r="O43" s="1"/>
  <c r="P39"/>
  <c r="J39"/>
  <c r="E39"/>
  <c r="H39" s="1"/>
  <c r="C39"/>
  <c r="O39" s="1"/>
  <c r="P35"/>
  <c r="J35"/>
  <c r="E35"/>
  <c r="H35" s="1"/>
  <c r="C35"/>
  <c r="O35" s="1"/>
  <c r="P31"/>
  <c r="J31"/>
  <c r="E31"/>
  <c r="H31" s="1"/>
  <c r="C31"/>
  <c r="O31" s="1"/>
  <c r="P27"/>
  <c r="E27"/>
  <c r="H27" s="1"/>
  <c r="C27"/>
  <c r="O27" s="1"/>
  <c r="Z23"/>
  <c r="Z24" s="1"/>
  <c r="Z25" s="1"/>
  <c r="Z27" s="1"/>
  <c r="Z28" s="1"/>
  <c r="Z29" s="1"/>
  <c r="Z31" s="1"/>
  <c r="Z32" s="1"/>
  <c r="Z33" s="1"/>
  <c r="Z35" s="1"/>
  <c r="Z36" s="1"/>
  <c r="Z37" s="1"/>
  <c r="Z39" s="1"/>
  <c r="Z40" s="1"/>
  <c r="Z41" s="1"/>
  <c r="Z43" s="1"/>
  <c r="Z44" s="1"/>
  <c r="Z45" s="1"/>
  <c r="Z47" s="1"/>
  <c r="W23"/>
  <c r="W24" s="1"/>
  <c r="W25" s="1"/>
  <c r="W27" s="1"/>
  <c r="W28" s="1"/>
  <c r="W29" s="1"/>
  <c r="W31" s="1"/>
  <c r="W32" s="1"/>
  <c r="W33" s="1"/>
  <c r="W35" s="1"/>
  <c r="W36" s="1"/>
  <c r="W37" s="1"/>
  <c r="W39" s="1"/>
  <c r="W40" s="1"/>
  <c r="W41" s="1"/>
  <c r="W43" s="1"/>
  <c r="W44" s="1"/>
  <c r="W45" s="1"/>
  <c r="W47" s="1"/>
  <c r="P23"/>
  <c r="E23"/>
  <c r="H23" s="1"/>
  <c r="C23"/>
  <c r="O23" s="1"/>
  <c r="P19"/>
  <c r="O19" s="1"/>
  <c r="J19"/>
  <c r="M19" s="1"/>
  <c r="H19"/>
  <c r="I19" s="1"/>
  <c r="G19"/>
  <c r="U19" s="1"/>
  <c r="C10"/>
  <c r="P95" i="1"/>
  <c r="J95"/>
  <c r="E95"/>
  <c r="H95" s="1"/>
  <c r="C95"/>
  <c r="O95" s="1"/>
  <c r="P91"/>
  <c r="J91"/>
  <c r="E91"/>
  <c r="H91" s="1"/>
  <c r="C91"/>
  <c r="O91" s="1"/>
  <c r="P87"/>
  <c r="J87"/>
  <c r="E87"/>
  <c r="H87" s="1"/>
  <c r="C87"/>
  <c r="O87" s="1"/>
  <c r="P83"/>
  <c r="J83"/>
  <c r="E83"/>
  <c r="H83" s="1"/>
  <c r="C83"/>
  <c r="O83" s="1"/>
  <c r="P79"/>
  <c r="J79"/>
  <c r="E79"/>
  <c r="H79" s="1"/>
  <c r="C79"/>
  <c r="O79" s="1"/>
  <c r="P75"/>
  <c r="J75"/>
  <c r="E75"/>
  <c r="H75" s="1"/>
  <c r="C75"/>
  <c r="O75" s="1"/>
  <c r="P71"/>
  <c r="J71"/>
  <c r="E71"/>
  <c r="H71" s="1"/>
  <c r="C71"/>
  <c r="O71" s="1"/>
  <c r="P67"/>
  <c r="J67"/>
  <c r="E67"/>
  <c r="H67" s="1"/>
  <c r="C67"/>
  <c r="O67" s="1"/>
  <c r="P63"/>
  <c r="J63"/>
  <c r="E63"/>
  <c r="H63" s="1"/>
  <c r="C63"/>
  <c r="O63" s="1"/>
  <c r="P59"/>
  <c r="J59"/>
  <c r="E59"/>
  <c r="H59" s="1"/>
  <c r="C59"/>
  <c r="O59" s="1"/>
  <c r="P55"/>
  <c r="J55"/>
  <c r="E55"/>
  <c r="H55" s="1"/>
  <c r="C55"/>
  <c r="O55" s="1"/>
  <c r="P51"/>
  <c r="J51"/>
  <c r="E51"/>
  <c r="H51" s="1"/>
  <c r="C51"/>
  <c r="O51" s="1"/>
  <c r="P47"/>
  <c r="J47"/>
  <c r="E47"/>
  <c r="H47" s="1"/>
  <c r="C47"/>
  <c r="O47" s="1"/>
  <c r="P43"/>
  <c r="J43"/>
  <c r="E43"/>
  <c r="H43" s="1"/>
  <c r="C43"/>
  <c r="O43" s="1"/>
  <c r="P39"/>
  <c r="J39"/>
  <c r="E39"/>
  <c r="H39" s="1"/>
  <c r="C39"/>
  <c r="O39" s="1"/>
  <c r="P35"/>
  <c r="J35"/>
  <c r="E35"/>
  <c r="H35" s="1"/>
  <c r="C35"/>
  <c r="O35" s="1"/>
  <c r="P31"/>
  <c r="J31"/>
  <c r="E31"/>
  <c r="H31" s="1"/>
  <c r="C31"/>
  <c r="O31" s="1"/>
  <c r="Z27"/>
  <c r="Z28" s="1"/>
  <c r="Z29" s="1"/>
  <c r="Z31" s="1"/>
  <c r="Z32" s="1"/>
  <c r="Z33" s="1"/>
  <c r="Z35" s="1"/>
  <c r="Z36" s="1"/>
  <c r="Z37" s="1"/>
  <c r="Z39" s="1"/>
  <c r="Z40" s="1"/>
  <c r="Z41" s="1"/>
  <c r="Z43" s="1"/>
  <c r="Z44" s="1"/>
  <c r="Z45" s="1"/>
  <c r="Z47" s="1"/>
  <c r="Z48" s="1"/>
  <c r="Z49" s="1"/>
  <c r="Z51" s="1"/>
  <c r="W27"/>
  <c r="W28" s="1"/>
  <c r="W29" s="1"/>
  <c r="W31" s="1"/>
  <c r="W32" s="1"/>
  <c r="W33" s="1"/>
  <c r="W35" s="1"/>
  <c r="W36" s="1"/>
  <c r="W37" s="1"/>
  <c r="W39" s="1"/>
  <c r="W40" s="1"/>
  <c r="W41" s="1"/>
  <c r="W43" s="1"/>
  <c r="W44" s="1"/>
  <c r="W45" s="1"/>
  <c r="W47" s="1"/>
  <c r="W48" s="1"/>
  <c r="W49" s="1"/>
  <c r="W51" s="1"/>
  <c r="P27"/>
  <c r="J27"/>
  <c r="E27"/>
  <c r="H27" s="1"/>
  <c r="C27"/>
  <c r="O27" s="1"/>
  <c r="P23"/>
  <c r="J23"/>
  <c r="N23" s="1"/>
  <c r="E23"/>
  <c r="H23" s="1"/>
  <c r="C23"/>
  <c r="O23" s="1"/>
  <c r="U19"/>
  <c r="P19"/>
  <c r="O19" s="1"/>
  <c r="J19"/>
  <c r="M19" s="1"/>
  <c r="M23" s="1"/>
  <c r="M27" s="1"/>
  <c r="M31" s="1"/>
  <c r="M35" s="1"/>
  <c r="M39" s="1"/>
  <c r="M43" s="1"/>
  <c r="M47" s="1"/>
  <c r="M51" s="1"/>
  <c r="M55" s="1"/>
  <c r="M59" s="1"/>
  <c r="M63" s="1"/>
  <c r="M67" s="1"/>
  <c r="M71" s="1"/>
  <c r="M75" s="1"/>
  <c r="M79" s="1"/>
  <c r="M83" s="1"/>
  <c r="M87" s="1"/>
  <c r="M91" s="1"/>
  <c r="M95" s="1"/>
  <c r="H19"/>
  <c r="I19" s="1"/>
  <c r="G19"/>
  <c r="C10"/>
  <c r="T19" l="1"/>
  <c r="Q19"/>
  <c r="Q23" s="1"/>
  <c r="Q27" s="1"/>
  <c r="Q31" s="1"/>
  <c r="Q35" s="1"/>
  <c r="Q39" s="1"/>
  <c r="Q43" s="1"/>
  <c r="Q47" s="1"/>
  <c r="Q51" s="1"/>
  <c r="Q55" s="1"/>
  <c r="Q59" s="1"/>
  <c r="Q63" s="1"/>
  <c r="Q67" s="1"/>
  <c r="Q71" s="1"/>
  <c r="Q75" s="1"/>
  <c r="Q79" s="1"/>
  <c r="Q83" s="1"/>
  <c r="Q87" s="1"/>
  <c r="Q91" s="1"/>
  <c r="Q95" s="1"/>
  <c r="R19" s="1"/>
  <c r="T19" i="2"/>
  <c r="Q19"/>
  <c r="Q23" s="1"/>
  <c r="Q27" s="1"/>
  <c r="Q31" s="1"/>
  <c r="Q35" s="1"/>
  <c r="Q39" s="1"/>
  <c r="Q43" s="1"/>
  <c r="R23" i="1"/>
  <c r="R27"/>
  <c r="N27"/>
  <c r="R31"/>
  <c r="N31"/>
  <c r="R35"/>
  <c r="N35"/>
  <c r="R39"/>
  <c r="N39"/>
  <c r="R43"/>
  <c r="N43"/>
  <c r="R47"/>
  <c r="N47"/>
  <c r="R51"/>
  <c r="N51"/>
  <c r="R55"/>
  <c r="N55"/>
  <c r="R59"/>
  <c r="N59"/>
  <c r="R63"/>
  <c r="N63"/>
  <c r="R67"/>
  <c r="N67"/>
  <c r="R71"/>
  <c r="N71"/>
  <c r="R75"/>
  <c r="N75"/>
  <c r="R79"/>
  <c r="N79"/>
  <c r="R83"/>
  <c r="N83"/>
  <c r="R87"/>
  <c r="N87"/>
  <c r="R91"/>
  <c r="N91"/>
  <c r="R95"/>
  <c r="N95"/>
  <c r="T19" i="3"/>
  <c r="N19" i="1"/>
  <c r="J23" i="2"/>
  <c r="J27"/>
  <c r="R23" i="3"/>
  <c r="R31"/>
  <c r="R39"/>
  <c r="R47"/>
  <c r="R55"/>
  <c r="R63"/>
  <c r="R71"/>
  <c r="R79"/>
  <c r="R87"/>
  <c r="R27" i="4"/>
  <c r="T19"/>
  <c r="G23" i="1"/>
  <c r="U23" s="1"/>
  <c r="U27" s="1"/>
  <c r="U31" s="1"/>
  <c r="U35" s="1"/>
  <c r="U39" s="1"/>
  <c r="U43" s="1"/>
  <c r="U47" s="1"/>
  <c r="U51" s="1"/>
  <c r="U55" s="1"/>
  <c r="U59" s="1"/>
  <c r="U63" s="1"/>
  <c r="U67" s="1"/>
  <c r="U71" s="1"/>
  <c r="U75" s="1"/>
  <c r="U79" s="1"/>
  <c r="U83" s="1"/>
  <c r="U87" s="1"/>
  <c r="U91" s="1"/>
  <c r="U95" s="1"/>
  <c r="G27"/>
  <c r="I27" s="1"/>
  <c r="T27" s="1"/>
  <c r="G31"/>
  <c r="I31" s="1"/>
  <c r="T31" s="1"/>
  <c r="G35"/>
  <c r="I35" s="1"/>
  <c r="T35" s="1"/>
  <c r="G39"/>
  <c r="I39" s="1"/>
  <c r="T39" s="1"/>
  <c r="G43"/>
  <c r="I43" s="1"/>
  <c r="T43" s="1"/>
  <c r="G47"/>
  <c r="I47" s="1"/>
  <c r="T47" s="1"/>
  <c r="G51"/>
  <c r="I51" s="1"/>
  <c r="T51" s="1"/>
  <c r="G55"/>
  <c r="I55" s="1"/>
  <c r="T55" s="1"/>
  <c r="G59"/>
  <c r="I59" s="1"/>
  <c r="T59" s="1"/>
  <c r="G63"/>
  <c r="I63" s="1"/>
  <c r="T63" s="1"/>
  <c r="G67"/>
  <c r="I67" s="1"/>
  <c r="T67" s="1"/>
  <c r="G71"/>
  <c r="I71" s="1"/>
  <c r="T71" s="1"/>
  <c r="G75"/>
  <c r="I75" s="1"/>
  <c r="T75" s="1"/>
  <c r="G79"/>
  <c r="I79" s="1"/>
  <c r="T79" s="1"/>
  <c r="G83"/>
  <c r="I83" s="1"/>
  <c r="T83" s="1"/>
  <c r="G87"/>
  <c r="I87" s="1"/>
  <c r="T87" s="1"/>
  <c r="G91"/>
  <c r="I91" s="1"/>
  <c r="T91" s="1"/>
  <c r="G95"/>
  <c r="I95" s="1"/>
  <c r="T95" s="1"/>
  <c r="G23" i="2"/>
  <c r="G27"/>
  <c r="I27" s="1"/>
  <c r="T27" s="1"/>
  <c r="G31"/>
  <c r="I31" s="1"/>
  <c r="T31" s="1"/>
  <c r="G35"/>
  <c r="I35" s="1"/>
  <c r="T35" s="1"/>
  <c r="G39"/>
  <c r="I39" s="1"/>
  <c r="T39" s="1"/>
  <c r="G43"/>
  <c r="I43" s="1"/>
  <c r="T43" s="1"/>
  <c r="O47"/>
  <c r="G47"/>
  <c r="I47" s="1"/>
  <c r="T47" s="1"/>
  <c r="R27" i="3"/>
  <c r="R35"/>
  <c r="R43"/>
  <c r="R51"/>
  <c r="R59"/>
  <c r="R67"/>
  <c r="R75"/>
  <c r="R83"/>
  <c r="R91"/>
  <c r="R23" i="4"/>
  <c r="R19" i="3"/>
  <c r="U19"/>
  <c r="J23"/>
  <c r="J27"/>
  <c r="J31"/>
  <c r="J35"/>
  <c r="J39"/>
  <c r="J43"/>
  <c r="J47"/>
  <c r="J51"/>
  <c r="J55"/>
  <c r="J59"/>
  <c r="J63"/>
  <c r="J67"/>
  <c r="J71"/>
  <c r="J75"/>
  <c r="J79"/>
  <c r="J83"/>
  <c r="J87"/>
  <c r="R19" i="4"/>
  <c r="J23"/>
  <c r="J27"/>
  <c r="G51" i="2"/>
  <c r="I51" s="1"/>
  <c r="T51" s="1"/>
  <c r="G55"/>
  <c r="I55" s="1"/>
  <c r="T55" s="1"/>
  <c r="G59"/>
  <c r="I59" s="1"/>
  <c r="T59" s="1"/>
  <c r="G63"/>
  <c r="I63" s="1"/>
  <c r="T63" s="1"/>
  <c r="G67"/>
  <c r="I67" s="1"/>
  <c r="T67" s="1"/>
  <c r="G71"/>
  <c r="I71" s="1"/>
  <c r="T71" s="1"/>
  <c r="G23" i="3"/>
  <c r="G27"/>
  <c r="I27" s="1"/>
  <c r="T27" s="1"/>
  <c r="G31"/>
  <c r="I31" s="1"/>
  <c r="T31" s="1"/>
  <c r="G35"/>
  <c r="I35" s="1"/>
  <c r="T35" s="1"/>
  <c r="G39"/>
  <c r="I39" s="1"/>
  <c r="T39" s="1"/>
  <c r="G43"/>
  <c r="I43" s="1"/>
  <c r="T43" s="1"/>
  <c r="G47"/>
  <c r="I47" s="1"/>
  <c r="T47" s="1"/>
  <c r="G51"/>
  <c r="I51" s="1"/>
  <c r="T51" s="1"/>
  <c r="G55"/>
  <c r="I55" s="1"/>
  <c r="T55" s="1"/>
  <c r="G59"/>
  <c r="I59" s="1"/>
  <c r="T59" s="1"/>
  <c r="G63"/>
  <c r="I63" s="1"/>
  <c r="T63" s="1"/>
  <c r="G67"/>
  <c r="I67" s="1"/>
  <c r="T67" s="1"/>
  <c r="G71"/>
  <c r="I71" s="1"/>
  <c r="T71" s="1"/>
  <c r="G75"/>
  <c r="I75" s="1"/>
  <c r="T75" s="1"/>
  <c r="G79"/>
  <c r="I79" s="1"/>
  <c r="T79" s="1"/>
  <c r="G83"/>
  <c r="I83" s="1"/>
  <c r="T83" s="1"/>
  <c r="G87"/>
  <c r="I87" s="1"/>
  <c r="T87" s="1"/>
  <c r="G91"/>
  <c r="I91" s="1"/>
  <c r="T91" s="1"/>
  <c r="G23" i="4"/>
  <c r="G27"/>
  <c r="I27" s="1"/>
  <c r="T27" s="1"/>
  <c r="N39" i="3" l="1"/>
  <c r="N23"/>
  <c r="M23"/>
  <c r="M27" s="1"/>
  <c r="M31" s="1"/>
  <c r="M35" s="1"/>
  <c r="M39" s="1"/>
  <c r="M43" s="1"/>
  <c r="M47" s="1"/>
  <c r="M51" s="1"/>
  <c r="M55" s="1"/>
  <c r="M59" s="1"/>
  <c r="M63" s="1"/>
  <c r="M67" s="1"/>
  <c r="M71" s="1"/>
  <c r="M75" s="1"/>
  <c r="M79" s="1"/>
  <c r="M83" s="1"/>
  <c r="M87" s="1"/>
  <c r="M91" s="1"/>
  <c r="N87" s="1"/>
  <c r="I23" i="4"/>
  <c r="U23"/>
  <c r="U27" s="1"/>
  <c r="I23" i="2"/>
  <c r="U23"/>
  <c r="U27" s="1"/>
  <c r="U31" s="1"/>
  <c r="U35" s="1"/>
  <c r="U39" s="1"/>
  <c r="U43" s="1"/>
  <c r="U47" s="1"/>
  <c r="U51" s="1"/>
  <c r="U55" s="1"/>
  <c r="U59" s="1"/>
  <c r="U63" s="1"/>
  <c r="U67" s="1"/>
  <c r="U71" s="1"/>
  <c r="C11" i="3"/>
  <c r="N83"/>
  <c r="N75"/>
  <c r="N67"/>
  <c r="N59"/>
  <c r="N51"/>
  <c r="N43"/>
  <c r="N35"/>
  <c r="N27"/>
  <c r="U23"/>
  <c r="U27" s="1"/>
  <c r="U31" s="1"/>
  <c r="U35" s="1"/>
  <c r="U39" s="1"/>
  <c r="U43" s="1"/>
  <c r="U47" s="1"/>
  <c r="U51" s="1"/>
  <c r="U55" s="1"/>
  <c r="U59" s="1"/>
  <c r="U63" s="1"/>
  <c r="U67" s="1"/>
  <c r="U71" s="1"/>
  <c r="U75" s="1"/>
  <c r="U79" s="1"/>
  <c r="U83" s="1"/>
  <c r="U87" s="1"/>
  <c r="U91" s="1"/>
  <c r="I23"/>
  <c r="C11" i="1"/>
  <c r="M23" i="4"/>
  <c r="M27" s="1"/>
  <c r="N19" s="1"/>
  <c r="Q47" i="2"/>
  <c r="Q51" s="1"/>
  <c r="Q55" s="1"/>
  <c r="Q59" s="1"/>
  <c r="Q63" s="1"/>
  <c r="Q67" s="1"/>
  <c r="Q71" s="1"/>
  <c r="M23"/>
  <c r="M27" s="1"/>
  <c r="M31" s="1"/>
  <c r="M35" s="1"/>
  <c r="M39" s="1"/>
  <c r="M43" s="1"/>
  <c r="M47" s="1"/>
  <c r="M51" s="1"/>
  <c r="M55" s="1"/>
  <c r="M59" s="1"/>
  <c r="M63" s="1"/>
  <c r="M67" s="1"/>
  <c r="M71" s="1"/>
  <c r="N27" s="1"/>
  <c r="I23" i="1"/>
  <c r="T23" l="1"/>
  <c r="O15"/>
  <c r="P15" s="1"/>
  <c r="H15"/>
  <c r="I15" s="1"/>
  <c r="O13"/>
  <c r="P13" s="1"/>
  <c r="H13"/>
  <c r="I13" s="1"/>
  <c r="O11"/>
  <c r="H11"/>
  <c r="Q14"/>
  <c r="R14" s="1"/>
  <c r="J14"/>
  <c r="K14" s="1"/>
  <c r="C13"/>
  <c r="O12"/>
  <c r="P12" s="1"/>
  <c r="H12"/>
  <c r="I12" s="1"/>
  <c r="Q15"/>
  <c r="R15" s="1"/>
  <c r="J15"/>
  <c r="K15" s="1"/>
  <c r="Q13"/>
  <c r="R13" s="1"/>
  <c r="J13"/>
  <c r="K13" s="1"/>
  <c r="Q11"/>
  <c r="J11"/>
  <c r="C15"/>
  <c r="O14"/>
  <c r="P14" s="1"/>
  <c r="H14"/>
  <c r="I14" s="1"/>
  <c r="Q12"/>
  <c r="R12" s="1"/>
  <c r="J12"/>
  <c r="K12" s="1"/>
  <c r="R51" i="2"/>
  <c r="R27"/>
  <c r="R55"/>
  <c r="R23"/>
  <c r="R31"/>
  <c r="R35"/>
  <c r="R39"/>
  <c r="R43"/>
  <c r="R59"/>
  <c r="R19"/>
  <c r="R63"/>
  <c r="R67"/>
  <c r="R71"/>
  <c r="T23" i="3"/>
  <c r="Q15"/>
  <c r="R15" s="1"/>
  <c r="J15"/>
  <c r="K15" s="1"/>
  <c r="Q13"/>
  <c r="R13" s="1"/>
  <c r="J13"/>
  <c r="K13" s="1"/>
  <c r="Q11"/>
  <c r="J11"/>
  <c r="C15"/>
  <c r="O14"/>
  <c r="P14" s="1"/>
  <c r="H14"/>
  <c r="I14" s="1"/>
  <c r="Q12"/>
  <c r="R12" s="1"/>
  <c r="J12"/>
  <c r="K12" s="1"/>
  <c r="O15"/>
  <c r="P15" s="1"/>
  <c r="H15"/>
  <c r="I15" s="1"/>
  <c r="O13"/>
  <c r="P13" s="1"/>
  <c r="H13"/>
  <c r="I13" s="1"/>
  <c r="O11"/>
  <c r="H11"/>
  <c r="Q14"/>
  <c r="R14" s="1"/>
  <c r="J14"/>
  <c r="K14" s="1"/>
  <c r="C13"/>
  <c r="O12"/>
  <c r="P12" s="1"/>
  <c r="H12"/>
  <c r="I12" s="1"/>
  <c r="T23" i="4"/>
  <c r="Q15"/>
  <c r="R15" s="1"/>
  <c r="J15"/>
  <c r="K15" s="1"/>
  <c r="Q13"/>
  <c r="R13" s="1"/>
  <c r="J13"/>
  <c r="K13" s="1"/>
  <c r="Q11"/>
  <c r="J11"/>
  <c r="C15"/>
  <c r="O14"/>
  <c r="P14" s="1"/>
  <c r="H14"/>
  <c r="I14" s="1"/>
  <c r="Q12"/>
  <c r="R12" s="1"/>
  <c r="J12"/>
  <c r="K12" s="1"/>
  <c r="O15"/>
  <c r="P15" s="1"/>
  <c r="H15"/>
  <c r="I15" s="1"/>
  <c r="O13"/>
  <c r="P13" s="1"/>
  <c r="H13"/>
  <c r="I13" s="1"/>
  <c r="O11"/>
  <c r="H11"/>
  <c r="Q14"/>
  <c r="R14" s="1"/>
  <c r="J14"/>
  <c r="K14" s="1"/>
  <c r="C13"/>
  <c r="O12"/>
  <c r="P12" s="1"/>
  <c r="H12"/>
  <c r="I12" s="1"/>
  <c r="N23"/>
  <c r="R47" i="2"/>
  <c r="N55" i="3"/>
  <c r="N71"/>
  <c r="C11" i="4"/>
  <c r="N59" i="2"/>
  <c r="N55"/>
  <c r="N51"/>
  <c r="N31"/>
  <c r="N35"/>
  <c r="N39"/>
  <c r="N43"/>
  <c r="N63"/>
  <c r="N67"/>
  <c r="N71"/>
  <c r="N47"/>
  <c r="N19"/>
  <c r="T23"/>
  <c r="Q15"/>
  <c r="R15" s="1"/>
  <c r="J15"/>
  <c r="K15" s="1"/>
  <c r="Q13"/>
  <c r="R13" s="1"/>
  <c r="J13"/>
  <c r="K13" s="1"/>
  <c r="Q11"/>
  <c r="J11"/>
  <c r="C15"/>
  <c r="O14"/>
  <c r="P14" s="1"/>
  <c r="H14"/>
  <c r="I14" s="1"/>
  <c r="Q12"/>
  <c r="R12" s="1"/>
  <c r="J12"/>
  <c r="K12" s="1"/>
  <c r="O15"/>
  <c r="P15" s="1"/>
  <c r="H15"/>
  <c r="I15" s="1"/>
  <c r="O13"/>
  <c r="P13" s="1"/>
  <c r="H13"/>
  <c r="I13" s="1"/>
  <c r="O11"/>
  <c r="H11"/>
  <c r="Q14"/>
  <c r="R14" s="1"/>
  <c r="J14"/>
  <c r="K14" s="1"/>
  <c r="C13"/>
  <c r="O12"/>
  <c r="P12" s="1"/>
  <c r="H12"/>
  <c r="I12" s="1"/>
  <c r="N19" i="3"/>
  <c r="N91"/>
  <c r="N23" i="2"/>
  <c r="C11"/>
  <c r="N31" i="3"/>
  <c r="N47"/>
  <c r="N63"/>
  <c r="N79"/>
  <c r="N27" i="4"/>
  <c r="H16" i="2" l="1"/>
  <c r="I11"/>
  <c r="I16" s="1"/>
  <c r="Q16"/>
  <c r="R11"/>
  <c r="R16" s="1"/>
  <c r="H16" i="4"/>
  <c r="I11"/>
  <c r="I16" s="1"/>
  <c r="Q16"/>
  <c r="R11"/>
  <c r="R16" s="1"/>
  <c r="O16" i="3"/>
  <c r="P11"/>
  <c r="P16" s="1"/>
  <c r="J16"/>
  <c r="K11"/>
  <c r="K16" s="1"/>
  <c r="C12"/>
  <c r="C14"/>
  <c r="Q16" i="1"/>
  <c r="R11"/>
  <c r="R16" s="1"/>
  <c r="H16"/>
  <c r="I11"/>
  <c r="I16" s="1"/>
  <c r="C14"/>
  <c r="C12"/>
  <c r="O16" i="2"/>
  <c r="P11"/>
  <c r="P16" s="1"/>
  <c r="J16"/>
  <c r="K11"/>
  <c r="K16" s="1"/>
  <c r="C12"/>
  <c r="C14"/>
  <c r="O16" i="4"/>
  <c r="P11"/>
  <c r="P16" s="1"/>
  <c r="J16"/>
  <c r="K11"/>
  <c r="K16" s="1"/>
  <c r="C12"/>
  <c r="C14"/>
  <c r="H16" i="3"/>
  <c r="I11"/>
  <c r="I16" s="1"/>
  <c r="Q16"/>
  <c r="R11"/>
  <c r="R16" s="1"/>
  <c r="J16" i="1"/>
  <c r="K11"/>
  <c r="K16" s="1"/>
  <c r="O16"/>
  <c r="P11"/>
  <c r="P16" s="1"/>
</calcChain>
</file>

<file path=xl/sharedStrings.xml><?xml version="1.0" encoding="utf-8"?>
<sst xmlns="http://schemas.openxmlformats.org/spreadsheetml/2006/main" count="657" uniqueCount="317">
  <si>
    <t>Stage 1</t>
  </si>
  <si>
    <t>1) col de la colombière (km 48&gt; km 65 / 16,7km / 6,8%)</t>
  </si>
  <si>
    <t xml:space="preserve">From: </t>
  </si>
  <si>
    <t xml:space="preserve">Geneve (385) </t>
  </si>
  <si>
    <t>http://www.climbbybike.com/climb.asp?Col=Col-de-la-Colombière&amp;qryMountainID=6095</t>
  </si>
  <si>
    <t>To:</t>
  </si>
  <si>
    <t xml:space="preserve">Megève (1100) </t>
  </si>
  <si>
    <t>Distance (km):</t>
  </si>
  <si>
    <t>2) col des aravis (km 75&gt; km 89 / 11,5km / 5,0%)</t>
  </si>
  <si>
    <t>Timed:</t>
  </si>
  <si>
    <t>km 23,5 &lt;&gt; km 109,5</t>
  </si>
  <si>
    <t>http://www.climbbybike.com/climb.asp?Col=&amp;qryMountainID=6029</t>
  </si>
  <si>
    <t>Cols/Hills:</t>
  </si>
  <si>
    <t>2x</t>
  </si>
  <si>
    <t>Total Ascent:</t>
  </si>
  <si>
    <t>2200m</t>
  </si>
  <si>
    <t>Total Descent:</t>
  </si>
  <si>
    <t>1500m</t>
  </si>
  <si>
    <t>Avg ascent/descent:</t>
  </si>
  <si>
    <t>km</t>
  </si>
  <si>
    <t>% km</t>
  </si>
  <si>
    <t>min</t>
  </si>
  <si>
    <t>% time</t>
  </si>
  <si>
    <t>Weighted avg ascent/descent:</t>
  </si>
  <si>
    <t>climb distance (0-2%)</t>
  </si>
  <si>
    <t>downhill distance (0-2%)</t>
  </si>
  <si>
    <t>Weighted avg ascent only:</t>
  </si>
  <si>
    <t>climb distance (2-3%)</t>
  </si>
  <si>
    <t>downhill distance (2-3%)</t>
  </si>
  <si>
    <t>Ascent distance (km):</t>
  </si>
  <si>
    <t>climb distance (3-5%)</t>
  </si>
  <si>
    <t>downhill distance (3-5%)</t>
  </si>
  <si>
    <t>Weighted avg descent only:</t>
  </si>
  <si>
    <t>climb distance (5-7%)</t>
  </si>
  <si>
    <t>downhill distance (5-7%)</t>
  </si>
  <si>
    <t>Descent distance (km):</t>
  </si>
  <si>
    <t>climb distance (&gt;7%)</t>
  </si>
  <si>
    <t>downhill distance (&gt;7%)</t>
  </si>
  <si>
    <t>from &gt; to</t>
  </si>
  <si>
    <t>start km</t>
  </si>
  <si>
    <t>finish km</t>
  </si>
  <si>
    <t>start altit</t>
  </si>
  <si>
    <t>finish altit</t>
  </si>
  <si>
    <t>lap</t>
  </si>
  <si>
    <t>climb alt</t>
  </si>
  <si>
    <t>grade</t>
  </si>
  <si>
    <t>fast lap</t>
  </si>
  <si>
    <t>fast speed</t>
  </si>
  <si>
    <t>fast split</t>
  </si>
  <si>
    <t>slow lap</t>
  </si>
  <si>
    <t>slow speed</t>
  </si>
  <si>
    <t>slow split</t>
  </si>
  <si>
    <t>genéve &gt; ville la grand</t>
  </si>
  <si>
    <t>(easy flat)</t>
  </si>
  <si>
    <r>
      <t xml:space="preserve">notes:   </t>
    </r>
    <r>
      <rPr>
        <sz val="8"/>
        <color theme="0" tint="-0.34998626667073579"/>
        <rFont val="Calibri"/>
        <family val="2"/>
        <scheme val="minor"/>
      </rPr>
      <t>basicamente a ideia deve ser rolar tranquilo até ao ponto de cronometragem, logo aqui é bom p aquecer</t>
    </r>
  </si>
  <si>
    <r>
      <t xml:space="preserve">tactic:   aquecer bem nesta fase com cadência mais elevada (85-95 rpm). </t>
    </r>
    <r>
      <rPr>
        <b/>
        <sz val="8"/>
        <color rgb="FFFF0000"/>
        <rFont val="Calibri"/>
        <family val="2"/>
        <scheme val="minor"/>
      </rPr>
      <t>Aproveitar para beber</t>
    </r>
  </si>
  <si>
    <t>ville la grand &gt; cranves sales</t>
  </si>
  <si>
    <t>(easy short uphill)</t>
  </si>
  <si>
    <r>
      <t xml:space="preserve">notes:   </t>
    </r>
    <r>
      <rPr>
        <sz val="8"/>
        <color theme="9" tint="-0.249977111117893"/>
        <rFont val="Calibri"/>
        <family val="2"/>
        <scheme val="minor"/>
      </rPr>
      <t>subida ligeira e curta, boa para aquecer</t>
    </r>
  </si>
  <si>
    <t>uphill</t>
  </si>
  <si>
    <t>downhill</t>
  </si>
  <si>
    <t>tactic:   aproveitar para sem forçar sentir as pernas - não aumentar ritmo e alternar posição em pé e sentado</t>
  </si>
  <si>
    <t>0,0% - 0,5%</t>
  </si>
  <si>
    <t>cranves sales &gt; bonne</t>
  </si>
  <si>
    <t>0,5% - 1,0%</t>
  </si>
  <si>
    <t>(easy flat &gt; downhill)</t>
  </si>
  <si>
    <r>
      <t xml:space="preserve">notes:   </t>
    </r>
    <r>
      <rPr>
        <sz val="8"/>
        <color theme="0" tint="-0.34998626667073579"/>
        <rFont val="Calibri"/>
        <family val="2"/>
        <scheme val="minor"/>
      </rPr>
      <t>falso plano a descer</t>
    </r>
  </si>
  <si>
    <t>1,0% - 1,5%</t>
  </si>
  <si>
    <r>
      <t xml:space="preserve">tactic:   recuperar da subida e voltar aumentar cadência para 85-95 rpm. </t>
    </r>
    <r>
      <rPr>
        <b/>
        <sz val="8"/>
        <color rgb="FFFF0000"/>
        <rFont val="Calibri"/>
        <family val="2"/>
        <scheme val="minor"/>
      </rPr>
      <t>Aproveitar para comer algo sólido</t>
    </r>
  </si>
  <si>
    <t>1,5% - 2,0%</t>
  </si>
  <si>
    <t>bonne &gt; vuiz en sallaz</t>
  </si>
  <si>
    <t>2,0% - 2,5%</t>
  </si>
  <si>
    <t>(easy uphill)</t>
  </si>
  <si>
    <r>
      <t xml:space="preserve">notes:   </t>
    </r>
    <r>
      <rPr>
        <sz val="8"/>
        <color theme="0" tint="-0.34998626667073579"/>
        <rFont val="Calibri"/>
        <family val="2"/>
        <scheme val="minor"/>
      </rPr>
      <t>falso plano a subir e início da etapa cronometrada</t>
    </r>
  </si>
  <si>
    <t>2,5% - 3,0%</t>
  </si>
  <si>
    <t>start of timed stage</t>
  </si>
  <si>
    <t>tactic:   manter ritmo moderado e se possível andar sempre na roda p poupar energia. Não entrar em loucuras de seguir malta doida... É o 1º dia!!!!</t>
  </si>
  <si>
    <t>3,0% - 3,5%</t>
  </si>
  <si>
    <t>vuiz en sallaz &gt; ville en sallaz</t>
  </si>
  <si>
    <t>3,5% - 4,0%</t>
  </si>
  <si>
    <t>(easy short flat)</t>
  </si>
  <si>
    <r>
      <t xml:space="preserve">notes:   </t>
    </r>
    <r>
      <rPr>
        <sz val="8"/>
        <color theme="0" tint="-0.34998626667073579"/>
        <rFont val="Calibri"/>
        <family val="2"/>
        <scheme val="minor"/>
      </rPr>
      <t>plano</t>
    </r>
  </si>
  <si>
    <t>4,0% - 4,5%</t>
  </si>
  <si>
    <r>
      <t xml:space="preserve">tactic:   manter ritmo e </t>
    </r>
    <r>
      <rPr>
        <b/>
        <sz val="8"/>
        <color rgb="FFFF0000"/>
        <rFont val="Calibri"/>
        <family val="2"/>
        <scheme val="minor"/>
      </rPr>
      <t>ir alternando posição bike... e bebendo líquidos</t>
    </r>
  </si>
  <si>
    <t>4,5% - 5,0%</t>
  </si>
  <si>
    <t>ville en sallaz &gt; la tour</t>
  </si>
  <si>
    <t>5,0% - 5,5%</t>
  </si>
  <si>
    <t>5,5% - 6,0%</t>
  </si>
  <si>
    <t>tactic:   manter ritmo calmo</t>
  </si>
  <si>
    <t>6,0% - 6,5%</t>
  </si>
  <si>
    <t>la tour &gt; marignier</t>
  </si>
  <si>
    <t>6,5% - 7,0%</t>
  </si>
  <si>
    <t>(easy long downhill)</t>
  </si>
  <si>
    <r>
      <t xml:space="preserve">notes:   </t>
    </r>
    <r>
      <rPr>
        <sz val="8"/>
        <color theme="0" tint="-0.34998626667073579"/>
        <rFont val="Calibri"/>
        <family val="2"/>
        <scheme val="minor"/>
      </rPr>
      <t>falso plano descer longo</t>
    </r>
  </si>
  <si>
    <t>7,0% - 7,5%</t>
  </si>
  <si>
    <r>
      <t xml:space="preserve">tactic:   ter paciência e seguir em ritmo calmo, o melhor está para vir... </t>
    </r>
    <r>
      <rPr>
        <b/>
        <sz val="8"/>
        <color rgb="FFFF0000"/>
        <rFont val="Calibri"/>
        <family val="2"/>
        <scheme val="minor"/>
      </rPr>
      <t>Ideal para comer alimentos sólidos</t>
    </r>
  </si>
  <si>
    <t>7,5% - 8,0%</t>
  </si>
  <si>
    <t>marignier &gt; thiez</t>
  </si>
  <si>
    <t>8,0% - 8,5%</t>
  </si>
  <si>
    <t>8,5% - 9,0%</t>
  </si>
  <si>
    <t>9,0% - 9,5%</t>
  </si>
  <si>
    <t>thiez &gt; marnaz</t>
  </si>
  <si>
    <t>9,5% - 10,0%</t>
  </si>
  <si>
    <r>
      <t xml:space="preserve">tactic:   </t>
    </r>
    <r>
      <rPr>
        <b/>
        <sz val="8"/>
        <color rgb="FFFF0000"/>
        <rFont val="Calibri"/>
        <family val="2"/>
        <scheme val="minor"/>
      </rPr>
      <t>beber be energética antes da subida</t>
    </r>
  </si>
  <si>
    <t>marnaz &gt; le reposoir</t>
  </si>
  <si>
    <t>(long steady uphill)</t>
  </si>
  <si>
    <t>notes:  1ª parte da subida ao col de la colombiére. Inclinações entre 5-8% ate km 5 e abaixo dos 3% até km 9 (ver gráfico!!!)</t>
  </si>
  <si>
    <r>
      <t xml:space="preserve">tactic:   manter ritmo constante e sem acelerações e </t>
    </r>
    <r>
      <rPr>
        <sz val="8"/>
        <color rgb="FFFF0000"/>
        <rFont val="Calibri"/>
        <family val="2"/>
        <scheme val="minor"/>
      </rPr>
      <t>aproveitar curvas para levantar selim e aliviar músculos (tentar beber nesta fase q é menos dura - não comer)</t>
    </r>
  </si>
  <si>
    <t>le reposoir &gt; col de la colombiére</t>
  </si>
  <si>
    <t>(long hard uphill)</t>
  </si>
  <si>
    <t>notes: 2ª parte subida e sempre acima dos 8%. E últimos 2km mais duros ainda..</t>
  </si>
  <si>
    <t>tactic: Essencial ter paciência para poupar pernas para kms finais da subida onde fadiga acumulada vai sentir-se,,,, cabeça aqui trabalhar tanto como pernas!!!</t>
  </si>
  <si>
    <t>col de la colombiére &gt; le chinaillon</t>
  </si>
  <si>
    <t>(long steep downhill)</t>
  </si>
  <si>
    <t>notes: 1ª parte de descida inclindada com 13km... Cuidado!</t>
  </si>
  <si>
    <r>
      <t xml:space="preserve">tactic: aqui é importante beber e tomar gel pq depois segue logo nova subida. </t>
    </r>
    <r>
      <rPr>
        <sz val="8"/>
        <color rgb="FFFF0000"/>
        <rFont val="Calibri"/>
        <family val="2"/>
        <scheme val="minor"/>
      </rPr>
      <t>São 15-20min onde importante é beber e rodar pernas SEMPRE</t>
    </r>
  </si>
  <si>
    <t>le chinaillon &gt; le grand bornand</t>
  </si>
  <si>
    <t>le chinaillon &gt; saint jean de sixt</t>
  </si>
  <si>
    <t>(short very steep downhill)</t>
  </si>
  <si>
    <t>saint jean de sixt &gt; la clusaz</t>
  </si>
  <si>
    <t>(short easy uphill)</t>
  </si>
  <si>
    <t>notes: parte plana antes da 2ª subida</t>
  </si>
  <si>
    <t>tactic: quem não comeu, come agora GEL</t>
  </si>
  <si>
    <t>la clusaz &gt; col des aravis</t>
  </si>
  <si>
    <t>notes: subida tem 1ª parte mais fácil e 2ª parte mais inclinada</t>
  </si>
  <si>
    <t xml:space="preserve">tactic: aqui ideal é poupar pernas p 2ª parte subida... Fadiga instalada vai decidir o ritmo na 2ª parte... </t>
  </si>
  <si>
    <t>col des aravis &gt; la giettaz</t>
  </si>
  <si>
    <t>notes: descida inclinada 10kms</t>
  </si>
  <si>
    <t>tactic: recuperar e se possível abrandar ritmo até final etapa.... Se possível.... São 7 dias...!!!!</t>
  </si>
  <si>
    <t>la giettaz &gt; flumet</t>
  </si>
  <si>
    <t>(long easy downhill)</t>
  </si>
  <si>
    <t>la flumet &gt; praz sur arly</t>
  </si>
  <si>
    <t>notes: falso plano</t>
  </si>
  <si>
    <t>tactic: poupar pernas</t>
  </si>
  <si>
    <t>praz sur arly &gt; megeve</t>
  </si>
  <si>
    <t>end of timed stage</t>
  </si>
  <si>
    <t>Beware! 
Neither the distance (97 km) nor the altitude of the first two cols of the Haute Route, the Colombière and the Aravis, should scare you. However the ascent of the Colombière by its north side is a “two-faced” friend. 
The first ten kilometres, up to the Reposoir, are “soft”; the last six surrounded by a rocky landscape have a gradient between 8.5 and 10%. Once you have freed yourself from this first col of the week (1616 meters), the descent of the south side is not too punishing until Saint-Jean-de-Sixt. From there, you’ll head towards La Clusaz and then turn right for the last eight kilometres of the Aravis. 
It is a cool route with an average 5% gradient, green scenery, the mont Blanc on your left at the summit and with a bit of luck, marmots! 
Save yourself some strength for the light final ascent to Megève. And then relax; it is only the first day after all…</t>
  </si>
  <si>
    <t xml:space="preserve">The first stage introduced by Jean-François Alcan, Race director
Sunday 21st August 2011, 7:30 in the morning, there will be hundreds of you at the start of the first edition of the Haute Route. The start will be in the Jardin Anglais, on the edge of the lake and near the famous Geneva water jet. The peloton will leave as a secured convoy, cycling along Lake Geneva through the stunning Geneva countryside. You will then enter French territory in Ville-la-Grand.  
The race will be timed from Bonne in Haute-Savoie, France. You will cycle past Saint Jeoire and reach Marnaz at the bottom of the first big challenge of the Haute Route 2011, the Col de la Colombière. Then a fast descent towards the Grand Bornand before climbing the Col des Aravis. The final part of this first stage takes you through Val d’Arly, after passing through Flumet, before reeling in the last 10 kilometres of the day which is a gentle climb, and cross the finish line in Megève, after 109 km on the saddle!   </t>
  </si>
  <si>
    <t>Main feature of the first stage
•    Start in Geneva, Jardin Anglais, 7:30
•    Arrive in Megève, Palais des Sports, between 11:15 and 14:35
•    109 km in total, 90 km timed
•    2200 meters of total ascent / 1500 meters of descent
•    2 food and drinks stops on the route, at the top of both cols
•    1 food and drink supply at the finish</t>
  </si>
  <si>
    <t>The 2 cols of the 1st day
•    Col de la Colombière, 1613 meters, summit 64 km from the start
•    Col des Aravis, 1486 meters, summit 89 km from the start</t>
  </si>
  <si>
    <t>col des aravis</t>
  </si>
  <si>
    <t>Stage 2</t>
  </si>
  <si>
    <t>1) col des saisies (km 10 &gt; km 25 / 14,82km / 910m &gt; 1657m / 747m / 5% )</t>
  </si>
  <si>
    <t>http://climbbybike.com/climb.asp?Col=Col-des-Saisies&amp;qryMountainID=6545</t>
  </si>
  <si>
    <t xml:space="preserve">Les arcs (1800) </t>
  </si>
  <si>
    <t>2) col du cormet de roselend (km 42&gt; km 63 / 20,3km / 740m &gt; 1967m / 1227m / 6,0%)</t>
  </si>
  <si>
    <t>10 &lt;&gt; 100</t>
  </si>
  <si>
    <t>http://climbbybike.com/climb.asp?Col=Cormet-de-Roselend&amp;qryMountainID=6771</t>
  </si>
  <si>
    <t>3x</t>
  </si>
  <si>
    <t>3000m</t>
  </si>
  <si>
    <t>3) Les Arcs (km 82&gt; km 100 / 20,3km / 814m &gt; 1805m / 991m / 6,1%)</t>
  </si>
  <si>
    <t>2300m</t>
  </si>
  <si>
    <t>http://www.climbbybike.com/climb.asp?Col=Arc 1800&amp;qryMountainID=10698</t>
  </si>
  <si>
    <t>megeve &gt; praz sur arly</t>
  </si>
  <si>
    <t>(short long downhill - 1st part)</t>
  </si>
  <si>
    <r>
      <t xml:space="preserve">notes:   </t>
    </r>
    <r>
      <rPr>
        <sz val="8"/>
        <color theme="0" tint="-0.34998626667073579"/>
        <rFont val="Calibri"/>
        <family val="2"/>
        <scheme val="minor"/>
      </rPr>
      <t>início falso plano longo a descer</t>
    </r>
  </si>
  <si>
    <t>praz sur arly &gt; crossing D1212-D218b</t>
  </si>
  <si>
    <t>(short long downhill - 2nd part)</t>
  </si>
  <si>
    <r>
      <t xml:space="preserve">notes:   </t>
    </r>
    <r>
      <rPr>
        <sz val="8"/>
        <color theme="0" tint="-0.34998626667073579"/>
        <rFont val="Calibri"/>
        <family val="2"/>
        <scheme val="minor"/>
      </rPr>
      <t>continuação falso plano a descer (fase qs plano)</t>
    </r>
  </si>
  <si>
    <t>crossing &gt; notre dame de bellecombe</t>
  </si>
  <si>
    <t>(long steep uphill - start)</t>
  </si>
  <si>
    <r>
      <t xml:space="preserve">notes:   </t>
    </r>
    <r>
      <rPr>
        <sz val="8"/>
        <color theme="9" tint="-0.249977111117893"/>
        <rFont val="Calibri"/>
        <family val="2"/>
        <scheme val="minor"/>
      </rPr>
      <t>falso início subida longa - logo inclinada</t>
    </r>
  </si>
  <si>
    <t>tactic:   começar lento e deixar corpo habituar-se ao ritmo</t>
  </si>
  <si>
    <t>notre dame de bellecombe &gt; le planay</t>
  </si>
  <si>
    <t>(long steep uphill - 2nd part)</t>
  </si>
  <si>
    <r>
      <t xml:space="preserve">notes:   </t>
    </r>
    <r>
      <rPr>
        <sz val="8"/>
        <color theme="9" tint="-0.249977111117893"/>
        <rFont val="Calibri"/>
        <family val="2"/>
        <scheme val="minor"/>
      </rPr>
      <t>continuação subida</t>
    </r>
  </si>
  <si>
    <r>
      <t xml:space="preserve">tactic:   deixar ritmo constante e ir alternando sentado e em pé. </t>
    </r>
    <r>
      <rPr>
        <b/>
        <sz val="8"/>
        <color rgb="FFFF0000"/>
        <rFont val="Calibri"/>
        <family val="2"/>
        <scheme val="minor"/>
      </rPr>
      <t>Não esquecer de beber beb energ</t>
    </r>
  </si>
  <si>
    <t>le planay &gt; arcaniére</t>
  </si>
  <si>
    <t>(long steep uphill - hardest part)</t>
  </si>
  <si>
    <r>
      <t xml:space="preserve">notes:   </t>
    </r>
    <r>
      <rPr>
        <sz val="8"/>
        <color theme="0"/>
        <rFont val="Calibri"/>
        <family val="2"/>
        <scheme val="minor"/>
      </rPr>
      <t>fase mais inclinada da subida</t>
    </r>
  </si>
  <si>
    <t>tactic:   sempre q necessário levantar em especial nas curvas,,,, depois disto subida está feita</t>
  </si>
  <si>
    <t>arcaniére &gt; col des saisies</t>
  </si>
  <si>
    <t>(long steep uphill - easiest part)</t>
  </si>
  <si>
    <r>
      <t xml:space="preserve">notes:   </t>
    </r>
    <r>
      <rPr>
        <sz val="8"/>
        <color theme="9" tint="-0.249977111117893"/>
        <rFont val="Calibri"/>
        <family val="2"/>
        <scheme val="minor"/>
      </rPr>
      <t>fase fácil da subida</t>
    </r>
  </si>
  <si>
    <r>
      <t xml:space="preserve">tactic:   fadiga vai aumentar dificuldade, mas aqui é aumentar cadência e seguir calmo... </t>
    </r>
    <r>
      <rPr>
        <b/>
        <sz val="8"/>
        <color rgb="FFFF0000"/>
        <rFont val="Calibri"/>
        <family val="2"/>
        <scheme val="minor"/>
      </rPr>
      <t>Aproveitar para beber ou gel</t>
    </r>
  </si>
  <si>
    <t>col des saisies &gt; crossing D218b-D925</t>
  </si>
  <si>
    <t>notes:   descida inclindada e longa</t>
  </si>
  <si>
    <r>
      <t xml:space="preserve">tactic:   rolar seguro sem quedas e comer... </t>
    </r>
    <r>
      <rPr>
        <b/>
        <sz val="8"/>
        <color theme="1"/>
        <rFont val="Calibri"/>
        <family val="2"/>
        <scheme val="minor"/>
      </rPr>
      <t>Ideal para comer alimentos sólidos</t>
    </r>
  </si>
  <si>
    <t>crossing &gt; beaufort</t>
  </si>
  <si>
    <t>(flat)</t>
  </si>
  <si>
    <r>
      <t xml:space="preserve">tactic:   preparar a 2ª subida. </t>
    </r>
    <r>
      <rPr>
        <b/>
        <sz val="8"/>
        <color rgb="FFFF0000"/>
        <rFont val="Calibri"/>
        <family val="2"/>
        <scheme val="minor"/>
      </rPr>
      <t>Aproveitar para beber</t>
    </r>
  </si>
  <si>
    <t>beaufort &gt; col de meraillet</t>
  </si>
  <si>
    <t>(long steep uphill - 1st part / harder)</t>
  </si>
  <si>
    <t>notes:   2ª subida longa e inclinada</t>
  </si>
  <si>
    <t>tactic:   aqui sim, vai doer.... Procurar alternar posição e n esquecer de beber ao longo subida</t>
  </si>
  <si>
    <t>col de meraillet &gt; col du cormet de roselend</t>
  </si>
  <si>
    <t>(long steep uphill - 2nd part / easier)</t>
  </si>
  <si>
    <r>
      <t xml:space="preserve">notes:  </t>
    </r>
    <r>
      <rPr>
        <sz val="8"/>
        <color theme="9" tint="-0.249977111117893"/>
        <rFont val="Calibri"/>
        <family val="2"/>
        <scheme val="minor"/>
      </rPr>
      <t>2ª parte subida ligeiramente + fácil</t>
    </r>
  </si>
  <si>
    <t>tactic:  deixar rolar a ritmo confortável e n forçar.  Poupar corpo p final etapa</t>
  </si>
  <si>
    <t>col du cormet de roselend &gt; les chappeux</t>
  </si>
  <si>
    <t>notes: 1ª parte descida longa</t>
  </si>
  <si>
    <r>
      <t xml:space="preserve">tactic: recuperar bem e </t>
    </r>
    <r>
      <rPr>
        <sz val="8"/>
        <color rgb="FFFF0000"/>
        <rFont val="Calibri"/>
        <family val="2"/>
        <scheme val="minor"/>
      </rPr>
      <t>comer alimentos sólidos</t>
    </r>
  </si>
  <si>
    <t>les chappeux &gt; bourg st maurice</t>
  </si>
  <si>
    <t>notes: 2ª parte descida</t>
  </si>
  <si>
    <t>tactic: aqui é rolar o mais fácil possível e beber muito</t>
  </si>
  <si>
    <t>bourg st maurice &gt; la millerette</t>
  </si>
  <si>
    <t>(long steep uphill - 1st part)</t>
  </si>
  <si>
    <r>
      <t xml:space="preserve">notes:  </t>
    </r>
    <r>
      <rPr>
        <sz val="8"/>
        <color theme="9" tint="-0.249977111117893"/>
        <rFont val="Calibri"/>
        <family val="2"/>
        <scheme val="minor"/>
      </rPr>
      <t>1ª parte subida ligeiramente + fácil</t>
    </r>
  </si>
  <si>
    <t>tactic:  poupar para 2ª parte da subida</t>
  </si>
  <si>
    <t>la millerette &gt; les arcs 1800</t>
  </si>
  <si>
    <t xml:space="preserve">tactic:   sempre q necessário levantar em especial nas curvas,,,, aqui quem não comeu bem vai pagar!!! </t>
  </si>
  <si>
    <t>It starts with the col des Saisies which should be okay. After the funny hairpin bends overlooking Flumet, there will be 15 kilometres of irregular but not too nasty slopes offering even a section to recuperate at mid-col near Arcanière. And above, weather permitting, the enchanting mont Blanc!
Keep some strength for the Cormet de Roselend that is split in two parts when you tackle it by Beaufort. The first ten kilometres go up on a 6 to 8% gradient to the levee and balcony of the Col du Méraillet where you will need to recuperate; and then another 6 to 8% gradient on the last five kilometres up to 1967 meters in altitude. It is high but not so difficult. Be careful at mid-descent, after the Saint-Antoine bridge, the going is very fast on a very narrow road, even some professionals have fallen off into the ravine!
Past Bourg-Saint-Maurice, 20 kilometres of ascent on a beautiful road up to the Arcs 1800 remain with a regular ascent of 6-7%. A 103 km day that will be a little more demanding  than the previous one.</t>
  </si>
  <si>
    <t>The second stage introduced by Jean-François Alcan, Race director
Stage 2 of the Haute Route will start in Megève in front of the Palais des Sports on Monday 22nd August at 8am. You will leave as a secured convoy in Val d’Arly and the real start (timing starts) will be given 6 kilometres later when the road forks off towards the Col des Saisies. Once at the summit, the peloton will enter the Beaufortain before tackling the main difficulty of the day, the sumptuous Cormet de Roselend. Save some energy as after the descent leading to Bourg-Saint-Maurice (Haute-Tarentaise), you will brave the 20km ascent all the way to Les Arcs 1800.</t>
  </si>
  <si>
    <t>Main feature of Stage 2
•    Start from Megève, on Monday 22nd August at 8am.
•    Arrive in Les Arcs 1800, Centre Bernard Taillefer, between 11h30 and 15h00
•    103km overall, 97km timed
•    3000 metres ascent / 2300 metres descent
•    2 full food and drinks supplies on the route, at the top of both cols
•    1 food and drink supply at the finish</t>
  </si>
  <si>
    <t>3 cols and ascents on the menu of Stage 2
•    Col des Saisies, 1650 meters, summit 24 km from the start
•    Col du Cormet de Roselend, 1967 meters, summit 61 km from the start
•    Final ascent between Bourg-Saint-Maurice and Les Arcs 1800 (20 km)</t>
  </si>
  <si>
    <t>Stage 3</t>
  </si>
  <si>
    <t>1) col de la madeleine (km 32 &gt; km 61,5 / 24,5km / 450m &gt; 1993m / 1543m / 6,3% )</t>
  </si>
  <si>
    <t xml:space="preserve">bourg st maurice (800) </t>
  </si>
  <si>
    <t>http://climbbybike.com/climb.asp?Col=Col-de-la-Madeleine&amp;qryMountainID=22</t>
  </si>
  <si>
    <t>serre chavalier (1375)</t>
  </si>
  <si>
    <t>2) col du télégraphe (km 104&gt; km 117,5 / 11,8km / 710m &gt; 1566m / 856m / 7,3%)</t>
  </si>
  <si>
    <t>32 &lt;&gt; 141</t>
  </si>
  <si>
    <t>http://climbbybike.com/climb.asp?Col=Col-du-Télégraphe&amp;qryMountainID=6713</t>
  </si>
  <si>
    <t>4000m</t>
  </si>
  <si>
    <t>3) Col du Galibier (km 122&gt; km 141 / 18,1km / 1401m &gt; 2646m / 1245m / 6,9%)</t>
  </si>
  <si>
    <t>3400m</t>
  </si>
  <si>
    <t>http://climbbybike.com/climb.asp?Col=Col-du-Galibier&amp;qryMountainID=9</t>
  </si>
  <si>
    <t>bourg st maurice &gt; aime</t>
  </si>
  <si>
    <t>(long easy uphill)</t>
  </si>
  <si>
    <r>
      <t xml:space="preserve">notes:   </t>
    </r>
    <r>
      <rPr>
        <sz val="8"/>
        <color theme="0" tint="-0.34998626667073579"/>
        <rFont val="Calibri"/>
        <family val="2"/>
        <scheme val="minor"/>
      </rPr>
      <t>início falso plano longo a subir</t>
    </r>
  </si>
  <si>
    <t>aime &gt; moutiers</t>
  </si>
  <si>
    <t>(long steady downhill)</t>
  </si>
  <si>
    <r>
      <t xml:space="preserve">notes:   </t>
    </r>
    <r>
      <rPr>
        <sz val="8"/>
        <color theme="1"/>
        <rFont val="Calibri"/>
        <family val="2"/>
        <scheme val="minor"/>
      </rPr>
      <t xml:space="preserve">secção a descer </t>
    </r>
  </si>
  <si>
    <r>
      <t xml:space="preserve">tactic:   continuar aquecimento e começar a </t>
    </r>
    <r>
      <rPr>
        <b/>
        <sz val="8"/>
        <color rgb="FFFF0000"/>
        <rFont val="Calibri"/>
        <family val="2"/>
        <scheme val="minor"/>
      </rPr>
      <t>comer alimentos sólidos (aos poucos)</t>
    </r>
  </si>
  <si>
    <t>moutiers &gt; le lechere les bains</t>
  </si>
  <si>
    <t>(almost flat)</t>
  </si>
  <si>
    <r>
      <t xml:space="preserve">tactic:   continuar em ritmo calmo a preparar as subidas do dia (LONGO) e </t>
    </r>
    <r>
      <rPr>
        <b/>
        <sz val="8"/>
        <color rgb="FFFF0000"/>
        <rFont val="Calibri"/>
        <family val="2"/>
        <scheme val="minor"/>
      </rPr>
      <t>continuar a beber/comer alimentos sólidos</t>
    </r>
  </si>
  <si>
    <t>le lechere les bains &gt; le crey</t>
  </si>
  <si>
    <t>(long easy uphillt)</t>
  </si>
  <si>
    <t>notes:   falso plano a subir</t>
  </si>
  <si>
    <r>
      <t xml:space="preserve">tactic:   continuar em ritmo calmo a preparar as subidas do dia (LONGO) e </t>
    </r>
    <r>
      <rPr>
        <b/>
        <sz val="8"/>
        <color rgb="FFFF0000"/>
        <rFont val="Calibri"/>
        <family val="2"/>
        <scheme val="minor"/>
      </rPr>
      <t>continuar a beber beb energética. Alternar posição sentado e d pé</t>
    </r>
  </si>
  <si>
    <t>le crey &gt; la thuile</t>
  </si>
  <si>
    <r>
      <t xml:space="preserve">tactic:   continuar em ritmo calmo a preparar as subidas do dia (LONGO) e </t>
    </r>
    <r>
      <rPr>
        <b/>
        <sz val="8"/>
        <color rgb="FFFF0000"/>
        <rFont val="Calibri"/>
        <family val="2"/>
        <scheme val="minor"/>
      </rPr>
      <t>continuar a beber/comer GEL</t>
    </r>
  </si>
  <si>
    <t>la thuile &gt; col de la madeleine</t>
  </si>
  <si>
    <t>(long very steep uphill)</t>
  </si>
  <si>
    <r>
      <t xml:space="preserve">notes:   </t>
    </r>
    <r>
      <rPr>
        <sz val="8"/>
        <color theme="0"/>
        <rFont val="Calibri"/>
        <family val="2"/>
        <scheme val="minor"/>
      </rPr>
      <t>subida bastante inclinada</t>
    </r>
  </si>
  <si>
    <t>tactic:   subida muito longa onde é importante alternar posição e beber be energ na subida,,,, aqui têm de chegar bem... Poupem-se antes!!!</t>
  </si>
  <si>
    <t>col de la madeleine &gt; saint francois longchamps</t>
  </si>
  <si>
    <t>(long very steep downhill - 1st part)</t>
  </si>
  <si>
    <t xml:space="preserve">notes:   descida inclindada </t>
  </si>
  <si>
    <r>
      <t xml:space="preserve">tactic:   rolar seguro sem quedas e comer... </t>
    </r>
    <r>
      <rPr>
        <b/>
        <sz val="8"/>
        <color rgb="FFFF0000"/>
        <rFont val="Calibri"/>
        <family val="2"/>
        <scheme val="minor"/>
      </rPr>
      <t>Ideal para comer alimentos sólidos</t>
    </r>
  </si>
  <si>
    <t>saint francois longchamps &gt; la chambre</t>
  </si>
  <si>
    <t>(long steep downhill - 2nd part)</t>
  </si>
  <si>
    <r>
      <t xml:space="preserve">notes:   </t>
    </r>
    <r>
      <rPr>
        <sz val="8"/>
        <color theme="1"/>
        <rFont val="Calibri"/>
        <family val="2"/>
        <scheme val="minor"/>
      </rPr>
      <t>continuação da descida</t>
    </r>
  </si>
  <si>
    <t>tactic:   manter ritmo calmo a poupar pernas para o que falta e continuar a comer e beber</t>
  </si>
  <si>
    <t>la chambre &gt; saint jean de maurienne</t>
  </si>
  <si>
    <t>notes:   falso plano</t>
  </si>
  <si>
    <t>tactic:   rolar.... Beber beb energ</t>
  </si>
  <si>
    <t>saint jean de maurienne &gt; saint michel de maurienne</t>
  </si>
  <si>
    <t>tactic:   rolar.... Beber água +  GEL</t>
  </si>
  <si>
    <t>saint michel de maurienne &gt; saint martin d'arc</t>
  </si>
  <si>
    <t xml:space="preserve">tactic:   rolar.... Beber beb energ </t>
  </si>
  <si>
    <t>saint martin d'arc &gt; col du telegraphe</t>
  </si>
  <si>
    <t>(very long steep uphill)</t>
  </si>
  <si>
    <t>notes: 2ª subida LONGAAAA</t>
  </si>
  <si>
    <t>tactic: como é a 1ª parte é decidir o ritmo da subida e imaginar q falta 1h00 a esse ritmo . . . N esquecer de beber</t>
  </si>
  <si>
    <t>col du telegraphe &gt; valloire</t>
  </si>
  <si>
    <r>
      <t xml:space="preserve">notes:  </t>
    </r>
    <r>
      <rPr>
        <sz val="8"/>
        <color theme="1"/>
        <rFont val="Calibri"/>
        <family val="2"/>
        <scheme val="minor"/>
      </rPr>
      <t>ligeira descida</t>
    </r>
  </si>
  <si>
    <t>tactic:  recuperar pernas e tomar GEL!!!!</t>
  </si>
  <si>
    <t>valloire &gt; les verneys</t>
  </si>
  <si>
    <t>notes:   1ª parte subida longa</t>
  </si>
  <si>
    <t>tactic:   ritmo confortável</t>
  </si>
  <si>
    <t>les verneys &gt; plan lachat</t>
  </si>
  <si>
    <t>(long steep uphill - 2st part)</t>
  </si>
  <si>
    <t>notes:   2ª parte subida longa</t>
  </si>
  <si>
    <t>plan lachat &gt; col du galibier</t>
  </si>
  <si>
    <r>
      <t xml:space="preserve">notes:   </t>
    </r>
    <r>
      <rPr>
        <sz val="8"/>
        <color theme="0"/>
        <rFont val="Calibri"/>
        <family val="2"/>
        <scheme val="minor"/>
      </rPr>
      <t>fase mais inclinada da subida / VAI DOER</t>
    </r>
  </si>
  <si>
    <t>tactic:   aqui vão perceber se fizeram asneira a comer e ritmo.... Se sim, abrandem MESMO, senão, continuem a ritmo confortável e vão levantando do selim....</t>
  </si>
  <si>
    <t>col du galibier &gt; col du lautaret</t>
  </si>
  <si>
    <t>notes:   descida longa e mto inclinada</t>
  </si>
  <si>
    <t>tactic:   recuperar p dia seguinte e cuidado c curvas</t>
  </si>
  <si>
    <t>col du lautaret &gt; le monetier les bains</t>
  </si>
  <si>
    <r>
      <t xml:space="preserve">notes:   </t>
    </r>
    <r>
      <rPr>
        <sz val="8"/>
        <color theme="1"/>
        <rFont val="Calibri"/>
        <family val="2"/>
        <scheme val="minor"/>
      </rPr>
      <t>descida longa e inclinada</t>
    </r>
  </si>
  <si>
    <t>tactic:   continuar a pensar no dia seguinte e comer !!!!</t>
  </si>
  <si>
    <t>le monetier les bains &gt; serre chevalier</t>
  </si>
  <si>
    <r>
      <t xml:space="preserve">notes:   </t>
    </r>
    <r>
      <rPr>
        <sz val="8"/>
        <color theme="0" tint="-0.34998626667073579"/>
        <rFont val="Calibri"/>
        <family val="2"/>
        <scheme val="minor"/>
      </rPr>
      <t>qs final</t>
    </r>
  </si>
  <si>
    <t>tactic:   rolar a recuperar...</t>
  </si>
  <si>
    <t xml:space="preserve">The big day! Because it is the third day and your legs will start to hurt; because there are 162 kilometres on the clock and it will be the longest stage of the week; and, more importantly, because you will have to clim consecutively the Madeleine, the Télégraphe and the Galibier. A big and beautiful mountain leg! Fabulous!
The first part of the Madeleine via Aigueblanche is not very complicated. The last twelve kilometres however will offer no respite with an ascent between 7 and 9% gradient after Celliers, with rocky surroundings up to 1993 meters. Enjoy the descent to recuperate: the Maurienne Valley is never simple to broach, you could have a headwind all the way to the bottom of the Télégraphe!
Then it’s time for the “pièce de résistance”: the Télégraphe with the road bending through the middle of a pine forest. Ten kilometres with a regular ascent at 7%. Here we go! The small descent to Valloire and then the Galibier. The col King of the Alps, the one that inspired the famous drawings of « L’Homme au marteau » from Pellos awaits you, with its irregular percentage which is harsh for morale because it is almost a straight line all the way to Plan Lachat.
Then, the “real” col starts: 8 kilometres at 9 to 10% all the way up to 2637 meters. The main difficulty of the Galibier, which is really the main challenge of the Haute Route, is here, over the last 8 kilometres across a dreamlike landscape, but with a lack of oxygen above 2000 meters! One must really think concentrate over the Madeleine and the Télégraphe, to manage your energy consumption, otherwise the Galibier could really become a nightmare. At the summit, at kilometre 140, it’s a done deal! However, it goes all the way down to Serre-Chevalier and if you’re not too exhausted, enjoy yourself!
</t>
  </si>
  <si>
    <t>The third stage introduced by Jean-François Alcan, Race director
Stage 3 of the Haute Route 2011 will start in Bourg-Saint-Maurice on Tuesday 23rd August at 07:15. On the menu that day, 162 km between Savoie and Hautes Alpes, the marathon stage of the event, the longest and the most demanding one.
You will leave as a secured convoy all the way to the bottom of the Col de la Madeleine, after Moutiers. The real start (timing starts) will be given at the 31st kilometre. You will face the challenging Col de la Madeleine, heading down in La Chambre, and then ride in the Maurienne Valley for 23km until you reach Saint Michel de Maurienne. You will then start the double ascent of the Col du Télégraphe and Col du Galibier. The timing will stop at the summit of the latter, 2645 meters high, before reaching Serre Chevalier Valley. Our race village will be there to welcome you in La Salle-les-Alpes for a well-deserved rest</t>
  </si>
  <si>
    <t>Main feature of Stage 3:
•      Start from Bourg-Saint-Maurice, Tuesday 23rd August  at 7:15
•      Arrive in Serre Chevalier, between 12:30 and 17:00
•      162 km overall, 110 km timed
•      4000 metres ascent / 3400 metres descent
•      2 full food and drinks supplies during the race, at the top of the Madeleine and in Valloire
•      1 drink supply en route at the summit of the Galibier
•      1 food and drink supply at the arrival in Serre Chevalier</t>
  </si>
  <si>
    <t>3 major cols on the menu of Stage 3:
•      Col de la Madeleine, 1993 metres, summit 61 km from the start
•      Col du Télégraphe, 1565 metres, summit 117 km from the start
•      Col du Galibier, 2645 metres, summit 141km from the start</t>
  </si>
  <si>
    <t>1) col du grannon (km 1 &gt; km 12,5 / 12,5km / 1360m &gt; 2413m / 1053m / 8,4% )</t>
  </si>
  <si>
    <t xml:space="preserve">Serre Chevalier (1360) </t>
  </si>
  <si>
    <t>http://climbbybike.com/climb.asp?Col=Col-de-Granon&amp;qryMountainID=6001</t>
  </si>
  <si>
    <t>Col du Granon (2413)</t>
  </si>
  <si>
    <t>1 &lt;&gt; 12,5</t>
  </si>
  <si>
    <t>1x</t>
  </si>
  <si>
    <t>1200m</t>
  </si>
  <si>
    <t>50m</t>
  </si>
  <si>
    <t>serre chavalier &gt; crossing D234-D919</t>
  </si>
  <si>
    <t>easy long uphill</t>
  </si>
  <si>
    <t>notes:   seccção pouco inclinada da subida</t>
  </si>
  <si>
    <t>tactic:   aqui é início da subida... Manter ritmo moderado sem abusar</t>
  </si>
  <si>
    <t>crossing D234-D919 &gt; les tronchets</t>
  </si>
  <si>
    <r>
      <t xml:space="preserve">notes:   </t>
    </r>
    <r>
      <rPr>
        <sz val="8"/>
        <color theme="1"/>
        <rFont val="Calibri"/>
        <family val="2"/>
        <scheme val="minor"/>
      </rPr>
      <t>1ª metade a sério da subida</t>
    </r>
  </si>
  <si>
    <t>tactic:   aumentar progressivamente a sensação de esforço ao longo dos 5km mas sem nunca ir ao máximo / levantar do selim a cada 1-2min</t>
  </si>
  <si>
    <t>les tronchets &gt; col du granon</t>
  </si>
  <si>
    <r>
      <t xml:space="preserve">notes:   </t>
    </r>
    <r>
      <rPr>
        <sz val="8"/>
        <rFont val="Calibri"/>
        <family val="2"/>
        <scheme val="minor"/>
      </rPr>
      <t>2ª parte e maior inclinação</t>
    </r>
  </si>
  <si>
    <t xml:space="preserve">tactic:   manter ritmo da 1ª parte e dar tudo nos últimos 3km... E vai ser tanto... </t>
  </si>
  <si>
    <t>Isn’t this a funny idea, a time trial on the Granon roads, an unknown col leading nowhere except 2413 meters high, facing the magnificent barrier of the Ecrins? My advice is warm up whilst going up to the Lautaret! Because the Granon, where the pros once went through (and arrived as it is a dead-end) in 1986 with a LeMond-Zimmermann duel, is a tough one right from the bottom and exit of Saint-Chaffrey. So 12 kilometres only on the menu, but 11 of them with hellish gradients, never below 8% and parts at 11-12%. Respect to those who, on this fourth day and with what’s been served up the day before, will take less than an hour to get to the top.</t>
  </si>
  <si>
    <t>Stage 4 of the Haute Route will be a major first for cyclosportives. On Wednesday 24th August, you will participate in an intense individual time trial that includes the dry ascent of the Col du Granon from Serre Chevalier, precisely from the Saint-Chaffrey village.
This individual time trial is a 12km ascent with the aim to reach the Granon, 2413 metres high, a very demanding col less known than its famous neighbours, the Galibier and the Izoard, but nonetheless fastidious. It will be a fierce start from kilometre one with a 10% slope. The softer part of the ascent comes next until kilometre six that cannot be negotiated at less than 8%! At the “Tronchets“, the slope goes back to 10% and keep increasing to 11% in the next kilometre at “Plainalp”. The last 500 metres, slightly easier (6.5%) will allow you to arrive fresh faced for the final picture!   
To respect the timing, the starts of the time trial will be given individually or by mini-groups of 2 to 3 riders. Detailed information will be published on our website a few weeks before the event. The descent on the same side because the Granon is a dead-end will be organised by groups of 100 to 150 riders in secured convoy, and starts will be managed so that no riders cross paths.
All riders will meet up after the time trial at the Haute Route race village (where you can find results, entertainment, pasta party, etc…) in La Salle-les-Alpes at the same place as the day before.</t>
  </si>
  <si>
    <t>Main feature of Stage 4
·      Start from Saint-Chaffrey on Wednesday, 24th August from 08:30
·      First arrivals at the Col du Granon summit from 09:30
·      12 timed kilometres
·      1’200 metres of ascent
·      Only 50 metres of descent
·      1 full food and drink supply at the finish at the Col du Granon</t>
  </si>
  <si>
    <t>Desta vez tentei desagregar a coisa de outro modo, isolando não só o que é subida do que é descida, mas também procurando pesar qual o peso das subidas e descidas em termos de kms e mais importante em termos de tempo final.</t>
  </si>
  <si>
    <t>as médias estão a olho, e as rápidas estão provavelmente acima do tempo mais rápido da etapa, e as lentas mais lentas que o tempo mais lento, mas dá uma ideia do que pode durar cada etapa</t>
  </si>
  <si>
    <t>Juntei ao file as indicações e notas que o website já trazia, desde o comentário do jornalista até ao resumo técnico de cada etapa.</t>
  </si>
  <si>
    <t>sempre que disponível, acrescentei o perfil de cada etapa (reetirado do www.climbbyike.com), e juntei o link para que o possam consultar se quiserem.</t>
  </si>
  <si>
    <t>quando n foi possível tentei simular a subida no www.mapmyride.com</t>
  </si>
  <si>
    <t>como sempre, isto são apenas indicações para vos poupar tempo no dia anterior e ao mesmo tempo para relaxarem um bocado... Não está ali o efeito vento, calor, frio, etc.... Logo.. Juízo</t>
  </si>
  <si>
    <t>sempre que tenham dúvida sobre se devem acelerar ou abrandar, abrandem... Poupem os músculos ao máximo...</t>
  </si>
  <si>
    <t>lembrem-se que é essencial comer regularmente para manter níveis açucar sangue e musculos constantes... N façam grandes intervalos sem comer</t>
  </si>
  <si>
    <t>barras ou gel, melhor serem acompanhadas com água ou beb energética bem dilúida</t>
  </si>
  <si>
    <t xml:space="preserve">nos intervalos, beb energética é fundamental devido aos electrólitos </t>
  </si>
  <si>
    <t>se se lembrarem, ante da etapa metam uns cmprimidos de sal na beb q levam de início</t>
  </si>
  <si>
    <t xml:space="preserve">em caso de quebra FORTE, abrandem muito, ou parem mesmo, e só retomem ritmo anterior 15min após terem bebido beb energ e gel... </t>
  </si>
  <si>
    <t>cuidado com as descidas.... Não é só a queda q dói... É a bike q se estraga e o pior de tudo.... As etapas q podem n chegar a fazer devido à queda... E as etapas são todas espectaculares!!!!</t>
  </si>
  <si>
    <t>no fim do dia, comam assim q puderem, ou melhor, bebam logo beb recovery e so depois vão banhos, massagens ou q for.... E mais tarde jantar.... Recovery é logo imediatamente</t>
  </si>
  <si>
    <t>have fun!</t>
  </si>
</sst>
</file>

<file path=xl/styles.xml><?xml version="1.0" encoding="utf-8"?>
<styleSheet xmlns="http://schemas.openxmlformats.org/spreadsheetml/2006/main">
  <numFmts count="3">
    <numFmt numFmtId="164" formatCode="0.0%"/>
    <numFmt numFmtId="165" formatCode="[h]:mm:ss;@"/>
    <numFmt numFmtId="166" formatCode="0.0"/>
  </numFmts>
  <fonts count="24">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color theme="0" tint="-0.14999847407452621"/>
      <name val="Calibri"/>
      <family val="2"/>
      <scheme val="minor"/>
    </font>
    <font>
      <u/>
      <sz val="11"/>
      <color theme="10"/>
      <name val="Calibri"/>
      <family val="2"/>
    </font>
    <font>
      <u/>
      <sz val="8"/>
      <color theme="10"/>
      <name val="Calibri"/>
      <family val="2"/>
    </font>
    <font>
      <sz val="8"/>
      <color theme="0"/>
      <name val="Calibri"/>
      <family val="2"/>
      <scheme val="minor"/>
    </font>
    <font>
      <b/>
      <sz val="8"/>
      <color theme="0" tint="-0.34998626667073579"/>
      <name val="Calibri"/>
      <family val="2"/>
      <scheme val="minor"/>
    </font>
    <font>
      <sz val="8"/>
      <color theme="0" tint="-0.34998626667073579"/>
      <name val="Calibri"/>
      <family val="2"/>
      <scheme val="minor"/>
    </font>
    <font>
      <b/>
      <sz val="8"/>
      <color rgb="FFFF0000"/>
      <name val="Calibri"/>
      <family val="2"/>
      <scheme val="minor"/>
    </font>
    <font>
      <sz val="8"/>
      <color rgb="FFFF0000"/>
      <name val="Calibri"/>
      <family val="2"/>
      <scheme val="minor"/>
    </font>
    <font>
      <b/>
      <sz val="8"/>
      <color theme="9" tint="-0.249977111117893"/>
      <name val="Calibri"/>
      <family val="2"/>
      <scheme val="minor"/>
    </font>
    <font>
      <sz val="8"/>
      <color theme="9" tint="-0.249977111117893"/>
      <name val="Calibri"/>
      <family val="2"/>
      <scheme val="minor"/>
    </font>
    <font>
      <sz val="8"/>
      <color rgb="FF0000FF"/>
      <name val="Calibri"/>
      <family val="2"/>
      <scheme val="minor"/>
    </font>
    <font>
      <u/>
      <sz val="8"/>
      <color rgb="FF000000"/>
      <name val="Inherit"/>
    </font>
    <font>
      <b/>
      <sz val="8"/>
      <color theme="0" tint="-0.14999847407452621"/>
      <name val="Calibri"/>
      <family val="2"/>
      <scheme val="minor"/>
    </font>
    <font>
      <sz val="10"/>
      <color theme="1"/>
      <name val="Calibri"/>
      <family val="2"/>
      <scheme val="minor"/>
    </font>
    <font>
      <sz val="10"/>
      <color theme="0" tint="-0.14999847407452621"/>
      <name val="Calibri"/>
      <family val="2"/>
      <scheme val="minor"/>
    </font>
    <font>
      <sz val="11"/>
      <color theme="0" tint="-0.14999847407452621"/>
      <name val="Calibri"/>
      <family val="2"/>
      <scheme val="minor"/>
    </font>
    <font>
      <sz val="8"/>
      <color rgb="FF000000"/>
      <name val="Verdana"/>
      <family val="2"/>
    </font>
    <font>
      <b/>
      <sz val="8"/>
      <color theme="0"/>
      <name val="Calibri"/>
      <family val="2"/>
      <scheme val="minor"/>
    </font>
    <font>
      <sz val="8"/>
      <name val="Calibri"/>
      <family val="2"/>
      <scheme val="minor"/>
    </font>
    <font>
      <b/>
      <sz val="8"/>
      <name val="Calibri"/>
      <family val="2"/>
      <scheme val="minor"/>
    </font>
  </fonts>
  <fills count="10">
    <fill>
      <patternFill patternType="none"/>
    </fill>
    <fill>
      <patternFill patternType="gray125"/>
    </fill>
    <fill>
      <patternFill patternType="solid">
        <fgColor theme="9" tint="0.59999389629810485"/>
        <bgColor indexed="64"/>
      </patternFill>
    </fill>
    <fill>
      <patternFill patternType="solid">
        <fgColor rgb="FFCCFFCC"/>
        <bgColor indexed="64"/>
      </patternFill>
    </fill>
    <fill>
      <patternFill patternType="solid">
        <fgColor rgb="FFFFC000"/>
        <bgColor indexed="64"/>
      </patternFill>
    </fill>
    <fill>
      <patternFill patternType="solid">
        <fgColor rgb="FF66FF66"/>
        <bgColor indexed="64"/>
      </patternFill>
    </fill>
    <fill>
      <patternFill patternType="solid">
        <fgColor rgb="FFFF0000"/>
        <bgColor indexed="64"/>
      </patternFill>
    </fill>
    <fill>
      <patternFill patternType="solid">
        <fgColor rgb="FF00B050"/>
        <bgColor indexed="64"/>
      </patternFill>
    </fill>
    <fill>
      <patternFill patternType="solid">
        <fgColor theme="0" tint="-0.14999847407452621"/>
        <bgColor indexed="64"/>
      </patternFill>
    </fill>
    <fill>
      <patternFill patternType="solid">
        <fgColor rgb="FFCCFFFF"/>
        <bgColor indexed="64"/>
      </patternFill>
    </fill>
  </fills>
  <borders count="1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alignment vertical="top"/>
      <protection locked="0"/>
    </xf>
  </cellStyleXfs>
  <cellXfs count="323">
    <xf numFmtId="0" fontId="0" fillId="0" borderId="0" xfId="0"/>
    <xf numFmtId="0" fontId="2" fillId="0" borderId="0" xfId="0" applyFont="1"/>
    <xf numFmtId="0" fontId="3" fillId="0" borderId="1" xfId="0" applyFont="1" applyBorder="1" applyAlignment="1">
      <alignment horizontal="center"/>
    </xf>
    <xf numFmtId="0" fontId="3" fillId="0" borderId="2" xfId="0" applyFont="1" applyBorder="1" applyAlignment="1">
      <alignment horizontal="center"/>
    </xf>
    <xf numFmtId="0" fontId="3" fillId="0" borderId="0" xfId="0" applyFont="1" applyAlignment="1">
      <alignment horizontal="left"/>
    </xf>
    <xf numFmtId="0" fontId="4" fillId="0" borderId="0" xfId="0" applyFont="1"/>
    <xf numFmtId="0" fontId="2" fillId="0" borderId="3" xfId="0" applyFont="1" applyBorder="1"/>
    <xf numFmtId="0" fontId="2" fillId="0" borderId="4" xfId="0" applyFont="1" applyBorder="1" applyAlignment="1">
      <alignment horizontal="left"/>
    </xf>
    <xf numFmtId="0" fontId="2" fillId="0" borderId="5" xfId="0" applyFont="1" applyBorder="1"/>
    <xf numFmtId="0" fontId="6" fillId="0" borderId="0" xfId="2" applyFont="1" applyAlignment="1" applyProtection="1"/>
    <xf numFmtId="0" fontId="2" fillId="0" borderId="6" xfId="0" applyFont="1" applyBorder="1"/>
    <xf numFmtId="0" fontId="2" fillId="0" borderId="7" xfId="0" applyFont="1" applyBorder="1" applyAlignment="1">
      <alignment horizontal="left"/>
    </xf>
    <xf numFmtId="0" fontId="2" fillId="0" borderId="8" xfId="0" applyFont="1" applyBorder="1"/>
    <xf numFmtId="0" fontId="2" fillId="0" borderId="0" xfId="0" applyFont="1" applyAlignment="1">
      <alignment horizontal="left"/>
    </xf>
    <xf numFmtId="0" fontId="3" fillId="0" borderId="0" xfId="0" applyFont="1"/>
    <xf numFmtId="0" fontId="2" fillId="0" borderId="9" xfId="0" applyFont="1" applyBorder="1"/>
    <xf numFmtId="0" fontId="2" fillId="0" borderId="10" xfId="0" applyFont="1" applyBorder="1" applyAlignment="1">
      <alignment horizontal="left"/>
    </xf>
    <xf numFmtId="0" fontId="2" fillId="0" borderId="11" xfId="0" applyFont="1" applyBorder="1"/>
    <xf numFmtId="0" fontId="2" fillId="0" borderId="7" xfId="0" applyFont="1" applyBorder="1"/>
    <xf numFmtId="164" fontId="2" fillId="0" borderId="4" xfId="1" applyNumberFormat="1" applyFont="1" applyBorder="1" applyAlignment="1">
      <alignment horizontal="left"/>
    </xf>
    <xf numFmtId="0" fontId="2" fillId="0" borderId="0" xfId="0" applyFont="1" applyAlignment="1">
      <alignment horizontal="right"/>
    </xf>
    <xf numFmtId="164" fontId="2" fillId="0" borderId="7" xfId="1" applyNumberFormat="1" applyFont="1" applyBorder="1" applyAlignment="1">
      <alignment horizontal="left"/>
    </xf>
    <xf numFmtId="0" fontId="2" fillId="0" borderId="4" xfId="0" applyFont="1" applyFill="1" applyBorder="1"/>
    <xf numFmtId="0" fontId="2" fillId="0" borderId="12" xfId="0" applyFont="1" applyFill="1" applyBorder="1"/>
    <xf numFmtId="2" fontId="2" fillId="0" borderId="12" xfId="1" applyNumberFormat="1" applyFont="1" applyFill="1" applyBorder="1" applyAlignment="1">
      <alignment horizontal="right"/>
    </xf>
    <xf numFmtId="9" fontId="2" fillId="0" borderId="12" xfId="1" applyFont="1" applyFill="1" applyBorder="1" applyAlignment="1">
      <alignment horizontal="right"/>
    </xf>
    <xf numFmtId="165" fontId="2" fillId="0" borderId="12" xfId="1" applyNumberFormat="1" applyFont="1" applyFill="1" applyBorder="1" applyAlignment="1">
      <alignment horizontal="right"/>
    </xf>
    <xf numFmtId="9" fontId="2" fillId="0" borderId="5" xfId="1" applyFont="1" applyFill="1" applyBorder="1" applyAlignment="1">
      <alignment horizontal="right"/>
    </xf>
    <xf numFmtId="9" fontId="2" fillId="0" borderId="0" xfId="1" applyFont="1" applyFill="1" applyBorder="1" applyAlignment="1">
      <alignment horizontal="right"/>
    </xf>
    <xf numFmtId="164" fontId="2" fillId="0" borderId="10" xfId="1" applyNumberFormat="1" applyFont="1" applyBorder="1" applyAlignment="1">
      <alignment horizontal="left"/>
    </xf>
    <xf numFmtId="0" fontId="2" fillId="0" borderId="10" xfId="0" applyFont="1" applyFill="1" applyBorder="1"/>
    <xf numFmtId="0" fontId="2" fillId="0" borderId="0" xfId="0" applyFont="1" applyFill="1" applyBorder="1"/>
    <xf numFmtId="2" fontId="2" fillId="0" borderId="0" xfId="1" applyNumberFormat="1" applyFont="1" applyFill="1" applyBorder="1" applyAlignment="1">
      <alignment horizontal="right"/>
    </xf>
    <xf numFmtId="165" fontId="2" fillId="0" borderId="0" xfId="1" applyNumberFormat="1" applyFont="1" applyFill="1" applyBorder="1" applyAlignment="1">
      <alignment horizontal="right"/>
    </xf>
    <xf numFmtId="9" fontId="2" fillId="0" borderId="11" xfId="1" applyFont="1" applyFill="1" applyBorder="1" applyAlignment="1">
      <alignment horizontal="right"/>
    </xf>
    <xf numFmtId="1" fontId="2" fillId="0" borderId="7" xfId="1" applyNumberFormat="1" applyFont="1" applyBorder="1" applyAlignment="1">
      <alignment horizontal="left"/>
    </xf>
    <xf numFmtId="0" fontId="2" fillId="2" borderId="10" xfId="0" applyFont="1" applyFill="1" applyBorder="1"/>
    <xf numFmtId="0" fontId="2" fillId="2" borderId="0" xfId="0" applyFont="1" applyFill="1" applyBorder="1"/>
    <xf numFmtId="2" fontId="2" fillId="2" borderId="0" xfId="1" applyNumberFormat="1" applyFont="1" applyFill="1" applyBorder="1" applyAlignment="1">
      <alignment horizontal="right"/>
    </xf>
    <xf numFmtId="9" fontId="2" fillId="2" borderId="0" xfId="1" applyFont="1" applyFill="1" applyBorder="1" applyAlignment="1">
      <alignment horizontal="right"/>
    </xf>
    <xf numFmtId="165" fontId="2" fillId="2" borderId="0" xfId="1" applyNumberFormat="1" applyFont="1" applyFill="1" applyBorder="1" applyAlignment="1">
      <alignment horizontal="right"/>
    </xf>
    <xf numFmtId="9" fontId="2" fillId="2" borderId="11" xfId="1" applyFont="1" applyFill="1" applyBorder="1" applyAlignment="1">
      <alignment horizontal="right"/>
    </xf>
    <xf numFmtId="0" fontId="2" fillId="3" borderId="10" xfId="0" applyFont="1" applyFill="1" applyBorder="1"/>
    <xf numFmtId="0" fontId="2" fillId="3" borderId="0" xfId="0" applyFont="1" applyFill="1" applyBorder="1"/>
    <xf numFmtId="2" fontId="2" fillId="3" borderId="0" xfId="1" applyNumberFormat="1" applyFont="1" applyFill="1" applyBorder="1" applyAlignment="1">
      <alignment horizontal="right"/>
    </xf>
    <xf numFmtId="9" fontId="2" fillId="3" borderId="0" xfId="1" applyFont="1" applyFill="1" applyBorder="1" applyAlignment="1">
      <alignment horizontal="right"/>
    </xf>
    <xf numFmtId="165" fontId="2" fillId="3" borderId="0" xfId="1" applyNumberFormat="1" applyFont="1" applyFill="1" applyBorder="1" applyAlignment="1">
      <alignment horizontal="right"/>
    </xf>
    <xf numFmtId="9" fontId="2" fillId="3" borderId="11" xfId="1" applyFont="1" applyFill="1" applyBorder="1" applyAlignment="1">
      <alignment horizontal="right"/>
    </xf>
    <xf numFmtId="0" fontId="2" fillId="4" borderId="10" xfId="0" applyFont="1" applyFill="1" applyBorder="1"/>
    <xf numFmtId="0" fontId="2" fillId="4" borderId="0" xfId="0" applyFont="1" applyFill="1" applyBorder="1"/>
    <xf numFmtId="2" fontId="2" fillId="4" borderId="0" xfId="1" applyNumberFormat="1" applyFont="1" applyFill="1" applyBorder="1" applyAlignment="1">
      <alignment horizontal="right"/>
    </xf>
    <xf numFmtId="9" fontId="2" fillId="4" borderId="0" xfId="1" applyFont="1" applyFill="1" applyBorder="1" applyAlignment="1">
      <alignment horizontal="right"/>
    </xf>
    <xf numFmtId="165" fontId="2" fillId="4" borderId="0" xfId="1" applyNumberFormat="1" applyFont="1" applyFill="1" applyBorder="1" applyAlignment="1">
      <alignment horizontal="right"/>
    </xf>
    <xf numFmtId="9" fontId="2" fillId="4" borderId="11" xfId="1" applyFont="1" applyFill="1" applyBorder="1" applyAlignment="1">
      <alignment horizontal="right"/>
    </xf>
    <xf numFmtId="0" fontId="2" fillId="5" borderId="10" xfId="0" applyFont="1" applyFill="1" applyBorder="1"/>
    <xf numFmtId="0" fontId="2" fillId="5" borderId="0" xfId="0" applyFont="1" applyFill="1" applyBorder="1"/>
    <xf numFmtId="2" fontId="2" fillId="5" borderId="0" xfId="1" applyNumberFormat="1" applyFont="1" applyFill="1" applyBorder="1" applyAlignment="1">
      <alignment horizontal="right"/>
    </xf>
    <xf numFmtId="9" fontId="2" fillId="5" borderId="0" xfId="1" applyFont="1" applyFill="1" applyBorder="1" applyAlignment="1">
      <alignment horizontal="right"/>
    </xf>
    <xf numFmtId="165" fontId="2" fillId="5" borderId="0" xfId="1" applyNumberFormat="1" applyFont="1" applyFill="1" applyBorder="1" applyAlignment="1">
      <alignment horizontal="right"/>
    </xf>
    <xf numFmtId="9" fontId="2" fillId="5" borderId="11" xfId="1" applyFont="1" applyFill="1" applyBorder="1" applyAlignment="1">
      <alignment horizontal="right"/>
    </xf>
    <xf numFmtId="0" fontId="7" fillId="6" borderId="7" xfId="0" applyFont="1" applyFill="1" applyBorder="1"/>
    <xf numFmtId="0" fontId="7" fillId="6" borderId="13" xfId="0" applyFont="1" applyFill="1" applyBorder="1"/>
    <xf numFmtId="2" fontId="7" fillId="6" borderId="13" xfId="1" applyNumberFormat="1" applyFont="1" applyFill="1" applyBorder="1" applyAlignment="1">
      <alignment horizontal="right"/>
    </xf>
    <xf numFmtId="9" fontId="7" fillId="6" borderId="13" xfId="1" applyFont="1" applyFill="1" applyBorder="1" applyAlignment="1">
      <alignment horizontal="right"/>
    </xf>
    <xf numFmtId="165" fontId="7" fillId="6" borderId="13" xfId="1" applyNumberFormat="1" applyFont="1" applyFill="1" applyBorder="1" applyAlignment="1">
      <alignment horizontal="right"/>
    </xf>
    <xf numFmtId="9" fontId="7" fillId="6" borderId="8" xfId="1" applyFont="1" applyFill="1" applyBorder="1" applyAlignment="1">
      <alignment horizontal="right"/>
    </xf>
    <xf numFmtId="9" fontId="7" fillId="0" borderId="0" xfId="1" applyFont="1" applyFill="1" applyBorder="1" applyAlignment="1">
      <alignment horizontal="right"/>
    </xf>
    <xf numFmtId="0" fontId="2" fillId="7" borderId="7" xfId="0" applyFont="1" applyFill="1" applyBorder="1"/>
    <xf numFmtId="0" fontId="2" fillId="7" borderId="13" xfId="0" applyFont="1" applyFill="1" applyBorder="1"/>
    <xf numFmtId="2" fontId="2" fillId="7" borderId="13" xfId="1" applyNumberFormat="1" applyFont="1" applyFill="1" applyBorder="1" applyAlignment="1">
      <alignment horizontal="right"/>
    </xf>
    <xf numFmtId="9" fontId="2" fillId="7" borderId="13" xfId="1" applyFont="1" applyFill="1" applyBorder="1" applyAlignment="1">
      <alignment horizontal="right"/>
    </xf>
    <xf numFmtId="165" fontId="2" fillId="7" borderId="13" xfId="1" applyNumberFormat="1" applyFont="1" applyFill="1" applyBorder="1" applyAlignment="1">
      <alignment horizontal="right"/>
    </xf>
    <xf numFmtId="9" fontId="2" fillId="7" borderId="8" xfId="1" applyFont="1" applyFill="1" applyBorder="1" applyAlignment="1">
      <alignment horizontal="right"/>
    </xf>
    <xf numFmtId="2" fontId="3" fillId="0" borderId="0" xfId="0" applyNumberFormat="1" applyFont="1"/>
    <xf numFmtId="9" fontId="3" fillId="0" borderId="0" xfId="0" applyNumberFormat="1" applyFont="1"/>
    <xf numFmtId="165" fontId="3" fillId="0" borderId="0" xfId="0" applyNumberFormat="1" applyFont="1"/>
    <xf numFmtId="9" fontId="2" fillId="0" borderId="0" xfId="0" applyNumberFormat="1" applyFont="1" applyFill="1"/>
    <xf numFmtId="164" fontId="2" fillId="0" borderId="0" xfId="1" applyNumberFormat="1" applyFont="1" applyAlignment="1">
      <alignment horizontal="left"/>
    </xf>
    <xf numFmtId="164" fontId="3" fillId="8" borderId="3" xfId="1" applyNumberFormat="1" applyFont="1" applyFill="1" applyBorder="1" applyAlignment="1">
      <alignment horizontal="center"/>
    </xf>
    <xf numFmtId="164" fontId="3" fillId="8" borderId="4" xfId="1" applyNumberFormat="1" applyFont="1" applyFill="1" applyBorder="1" applyAlignment="1">
      <alignment horizontal="center"/>
    </xf>
    <xf numFmtId="0" fontId="3" fillId="8" borderId="4" xfId="0" applyFont="1" applyFill="1" applyBorder="1" applyAlignment="1">
      <alignment horizontal="center"/>
    </xf>
    <xf numFmtId="0" fontId="3" fillId="8" borderId="1" xfId="0" applyFont="1" applyFill="1" applyBorder="1" applyAlignment="1">
      <alignment horizontal="center"/>
    </xf>
    <xf numFmtId="0" fontId="3" fillId="8" borderId="14" xfId="0" applyFont="1" applyFill="1" applyBorder="1" applyAlignment="1">
      <alignment horizontal="center"/>
    </xf>
    <xf numFmtId="0" fontId="3" fillId="8" borderId="2" xfId="0" applyFont="1" applyFill="1" applyBorder="1" applyAlignment="1">
      <alignment horizontal="center"/>
    </xf>
    <xf numFmtId="164" fontId="2" fillId="0" borderId="4" xfId="1" applyNumberFormat="1" applyFont="1" applyFill="1" applyBorder="1" applyAlignment="1">
      <alignment horizontal="left"/>
    </xf>
    <xf numFmtId="166" fontId="2" fillId="0" borderId="12" xfId="1" applyNumberFormat="1" applyFont="1" applyFill="1" applyBorder="1" applyAlignment="1">
      <alignment horizontal="center"/>
    </xf>
    <xf numFmtId="1" fontId="2" fillId="0" borderId="12" xfId="1" applyNumberFormat="1" applyFont="1" applyFill="1" applyBorder="1" applyAlignment="1">
      <alignment horizontal="center"/>
    </xf>
    <xf numFmtId="164" fontId="2" fillId="0" borderId="12" xfId="1" applyNumberFormat="1" applyFont="1" applyFill="1" applyBorder="1" applyAlignment="1">
      <alignment horizontal="center"/>
    </xf>
    <xf numFmtId="21" fontId="2" fillId="0" borderId="12" xfId="0" applyNumberFormat="1" applyFont="1" applyFill="1" applyBorder="1" applyAlignment="1">
      <alignment horizontal="center"/>
    </xf>
    <xf numFmtId="166" fontId="2" fillId="0" borderId="12" xfId="0" applyNumberFormat="1" applyFont="1" applyFill="1" applyBorder="1" applyAlignment="1">
      <alignment horizontal="center"/>
    </xf>
    <xf numFmtId="9" fontId="2" fillId="0" borderId="12" xfId="1" applyFont="1" applyFill="1" applyBorder="1" applyAlignment="1">
      <alignment horizontal="center"/>
    </xf>
    <xf numFmtId="9" fontId="2" fillId="0" borderId="5" xfId="1" applyFont="1" applyFill="1" applyBorder="1" applyAlignment="1">
      <alignment horizontal="center"/>
    </xf>
    <xf numFmtId="166" fontId="4" fillId="0" borderId="0" xfId="0" applyNumberFormat="1" applyFont="1"/>
    <xf numFmtId="0" fontId="8" fillId="0" borderId="0" xfId="0" applyFont="1" applyFill="1" applyBorder="1"/>
    <xf numFmtId="164" fontId="2" fillId="0" borderId="0" xfId="1" applyNumberFormat="1" applyFont="1" applyFill="1" applyBorder="1" applyAlignment="1">
      <alignment horizontal="left"/>
    </xf>
    <xf numFmtId="166" fontId="2" fillId="0" borderId="0" xfId="0" applyNumberFormat="1" applyFont="1" applyFill="1" applyBorder="1"/>
    <xf numFmtId="9" fontId="2" fillId="0" borderId="0" xfId="1" applyFont="1" applyFill="1" applyBorder="1"/>
    <xf numFmtId="9" fontId="2" fillId="0" borderId="11" xfId="1" applyFont="1" applyFill="1" applyBorder="1"/>
    <xf numFmtId="0" fontId="2" fillId="0" borderId="7" xfId="0" applyFont="1" applyFill="1" applyBorder="1"/>
    <xf numFmtId="0" fontId="8" fillId="0" borderId="13" xfId="0" applyFont="1" applyFill="1" applyBorder="1"/>
    <xf numFmtId="164" fontId="2" fillId="0" borderId="13" xfId="1" applyNumberFormat="1" applyFont="1" applyFill="1" applyBorder="1" applyAlignment="1">
      <alignment horizontal="left"/>
    </xf>
    <xf numFmtId="0" fontId="2" fillId="0" borderId="13" xfId="0" applyFont="1" applyFill="1" applyBorder="1"/>
    <xf numFmtId="166" fontId="2" fillId="0" borderId="13" xfId="0" applyNumberFormat="1" applyFont="1" applyFill="1" applyBorder="1"/>
    <xf numFmtId="9" fontId="2" fillId="0" borderId="13" xfId="1" applyFont="1" applyFill="1" applyBorder="1"/>
    <xf numFmtId="9" fontId="2" fillId="0" borderId="8" xfId="1" applyFont="1" applyFill="1" applyBorder="1"/>
    <xf numFmtId="0" fontId="11" fillId="0" borderId="0" xfId="0" applyFont="1" applyFill="1" applyBorder="1"/>
    <xf numFmtId="0" fontId="2" fillId="0" borderId="0" xfId="0" applyFont="1" applyBorder="1"/>
    <xf numFmtId="0" fontId="4" fillId="0" borderId="0" xfId="0" applyFont="1" applyBorder="1"/>
    <xf numFmtId="166" fontId="2" fillId="0" borderId="0" xfId="0" applyNumberFormat="1" applyFont="1"/>
    <xf numFmtId="1" fontId="2" fillId="0" borderId="0" xfId="0" applyNumberFormat="1" applyFont="1"/>
    <xf numFmtId="164" fontId="2" fillId="2" borderId="4" xfId="1" applyNumberFormat="1" applyFont="1" applyFill="1" applyBorder="1" applyAlignment="1">
      <alignment horizontal="left"/>
    </xf>
    <xf numFmtId="166" fontId="2" fillId="2" borderId="12" xfId="1" applyNumberFormat="1" applyFont="1" applyFill="1" applyBorder="1" applyAlignment="1">
      <alignment horizontal="center"/>
    </xf>
    <xf numFmtId="1" fontId="2" fillId="2" borderId="12" xfId="1" applyNumberFormat="1" applyFont="1" applyFill="1" applyBorder="1" applyAlignment="1">
      <alignment horizontal="center"/>
    </xf>
    <xf numFmtId="164" fontId="2" fillId="2" borderId="12" xfId="1" applyNumberFormat="1" applyFont="1" applyFill="1" applyBorder="1" applyAlignment="1">
      <alignment horizontal="center"/>
    </xf>
    <xf numFmtId="21" fontId="2" fillId="2" borderId="12" xfId="0" applyNumberFormat="1" applyFont="1" applyFill="1" applyBorder="1" applyAlignment="1">
      <alignment horizontal="center"/>
    </xf>
    <xf numFmtId="166" fontId="2" fillId="2" borderId="12" xfId="0" applyNumberFormat="1" applyFont="1" applyFill="1" applyBorder="1" applyAlignment="1">
      <alignment horizontal="center"/>
    </xf>
    <xf numFmtId="9" fontId="2" fillId="2" borderId="12" xfId="1" applyFont="1" applyFill="1" applyBorder="1" applyAlignment="1">
      <alignment horizontal="center"/>
    </xf>
    <xf numFmtId="2" fontId="2" fillId="2" borderId="12" xfId="0" applyNumberFormat="1" applyFont="1" applyFill="1" applyBorder="1" applyAlignment="1">
      <alignment horizontal="center"/>
    </xf>
    <xf numFmtId="9" fontId="2" fillId="2" borderId="5" xfId="1" applyFont="1" applyFill="1" applyBorder="1" applyAlignment="1">
      <alignment horizontal="center"/>
    </xf>
    <xf numFmtId="0" fontId="12" fillId="2" borderId="0" xfId="0" applyFont="1" applyFill="1" applyBorder="1"/>
    <xf numFmtId="164" fontId="2" fillId="2" borderId="0" xfId="1" applyNumberFormat="1" applyFont="1" applyFill="1" applyBorder="1" applyAlignment="1">
      <alignment horizontal="left"/>
    </xf>
    <xf numFmtId="166" fontId="2" fillId="2" borderId="0" xfId="0" applyNumberFormat="1" applyFont="1" applyFill="1" applyBorder="1"/>
    <xf numFmtId="9" fontId="2" fillId="2" borderId="0" xfId="1" applyFont="1" applyFill="1" applyBorder="1"/>
    <xf numFmtId="9" fontId="2" fillId="2" borderId="11" xfId="1" applyFont="1" applyFill="1" applyBorder="1"/>
    <xf numFmtId="0" fontId="2" fillId="0" borderId="1" xfId="0" applyFont="1" applyBorder="1" applyAlignment="1">
      <alignment horizontal="center"/>
    </xf>
    <xf numFmtId="0" fontId="2" fillId="0" borderId="2" xfId="0" applyFont="1" applyBorder="1" applyAlignment="1">
      <alignment horizontal="center"/>
    </xf>
    <xf numFmtId="0" fontId="2" fillId="2" borderId="7" xfId="0" applyFont="1" applyFill="1" applyBorder="1"/>
    <xf numFmtId="0" fontId="12" fillId="2" borderId="13" xfId="0" applyFont="1" applyFill="1" applyBorder="1"/>
    <xf numFmtId="164" fontId="2" fillId="2" borderId="13" xfId="1" applyNumberFormat="1" applyFont="1" applyFill="1" applyBorder="1" applyAlignment="1">
      <alignment horizontal="left"/>
    </xf>
    <xf numFmtId="0" fontId="2" fillId="2" borderId="13" xfId="0" applyFont="1" applyFill="1" applyBorder="1"/>
    <xf numFmtId="166" fontId="2" fillId="2" borderId="13" xfId="0" applyNumberFormat="1" applyFont="1" applyFill="1" applyBorder="1"/>
    <xf numFmtId="9" fontId="2" fillId="2" borderId="13" xfId="1" applyFont="1" applyFill="1" applyBorder="1"/>
    <xf numFmtId="9" fontId="2" fillId="2" borderId="8" xfId="1" applyFont="1" applyFill="1" applyBorder="1"/>
    <xf numFmtId="166" fontId="2" fillId="0" borderId="0" xfId="0" applyNumberFormat="1" applyFont="1" applyBorder="1"/>
    <xf numFmtId="2" fontId="2" fillId="0" borderId="12" xfId="0" applyNumberFormat="1" applyFont="1" applyFill="1" applyBorder="1" applyAlignment="1">
      <alignment horizontal="center"/>
    </xf>
    <xf numFmtId="0" fontId="11" fillId="0" borderId="7" xfId="0" applyFont="1" applyFill="1" applyBorder="1"/>
    <xf numFmtId="164" fontId="2" fillId="4" borderId="4" xfId="1" applyNumberFormat="1" applyFont="1" applyFill="1" applyBorder="1" applyAlignment="1">
      <alignment horizontal="left"/>
    </xf>
    <xf numFmtId="166" fontId="2" fillId="4" borderId="12" xfId="1" applyNumberFormat="1" applyFont="1" applyFill="1" applyBorder="1" applyAlignment="1">
      <alignment horizontal="center"/>
    </xf>
    <xf numFmtId="1" fontId="2" fillId="4" borderId="12" xfId="1" applyNumberFormat="1" applyFont="1" applyFill="1" applyBorder="1" applyAlignment="1">
      <alignment horizontal="center"/>
    </xf>
    <xf numFmtId="164" fontId="2" fillId="4" borderId="12" xfId="1" applyNumberFormat="1" applyFont="1" applyFill="1" applyBorder="1" applyAlignment="1">
      <alignment horizontal="center"/>
    </xf>
    <xf numFmtId="21" fontId="2" fillId="4" borderId="12" xfId="0" applyNumberFormat="1" applyFont="1" applyFill="1" applyBorder="1" applyAlignment="1">
      <alignment horizontal="center"/>
    </xf>
    <xf numFmtId="166" fontId="2" fillId="4" borderId="12" xfId="0" applyNumberFormat="1" applyFont="1" applyFill="1" applyBorder="1" applyAlignment="1">
      <alignment horizontal="center"/>
    </xf>
    <xf numFmtId="9" fontId="2" fillId="4" borderId="12" xfId="1" applyFont="1" applyFill="1" applyBorder="1" applyAlignment="1">
      <alignment horizontal="center"/>
    </xf>
    <xf numFmtId="2" fontId="2" fillId="4" borderId="12" xfId="0" applyNumberFormat="1" applyFont="1" applyFill="1" applyBorder="1" applyAlignment="1">
      <alignment horizontal="center"/>
    </xf>
    <xf numFmtId="9" fontId="2" fillId="4" borderId="5" xfId="1" applyFont="1" applyFill="1" applyBorder="1" applyAlignment="1">
      <alignment horizontal="center"/>
    </xf>
    <xf numFmtId="0" fontId="13" fillId="4" borderId="0" xfId="0" applyFont="1" applyFill="1" applyBorder="1"/>
    <xf numFmtId="164" fontId="2" fillId="4" borderId="0" xfId="1" applyNumberFormat="1" applyFont="1" applyFill="1" applyBorder="1" applyAlignment="1">
      <alignment horizontal="left"/>
    </xf>
    <xf numFmtId="166" fontId="2" fillId="4" borderId="0" xfId="0" applyNumberFormat="1" applyFont="1" applyFill="1" applyBorder="1"/>
    <xf numFmtId="9" fontId="2" fillId="4" borderId="0" xfId="1" applyFont="1" applyFill="1" applyBorder="1"/>
    <xf numFmtId="9" fontId="2" fillId="4" borderId="11" xfId="1" applyFont="1" applyFill="1" applyBorder="1"/>
    <xf numFmtId="0" fontId="2" fillId="4" borderId="7" xfId="0" applyFont="1" applyFill="1" applyBorder="1"/>
    <xf numFmtId="0" fontId="13" fillId="4" borderId="13" xfId="0" applyFont="1" applyFill="1" applyBorder="1"/>
    <xf numFmtId="164" fontId="2" fillId="4" borderId="13" xfId="1" applyNumberFormat="1" applyFont="1" applyFill="1" applyBorder="1" applyAlignment="1">
      <alignment horizontal="left"/>
    </xf>
    <xf numFmtId="0" fontId="2" fillId="4" borderId="13" xfId="0" applyFont="1" applyFill="1" applyBorder="1"/>
    <xf numFmtId="166" fontId="2" fillId="4" borderId="13" xfId="0" applyNumberFormat="1" applyFont="1" applyFill="1" applyBorder="1"/>
    <xf numFmtId="9" fontId="2" fillId="4" borderId="13" xfId="1" applyFont="1" applyFill="1" applyBorder="1"/>
    <xf numFmtId="9" fontId="2" fillId="4" borderId="8" xfId="1" applyFont="1" applyFill="1" applyBorder="1"/>
    <xf numFmtId="164" fontId="7" fillId="6" borderId="4" xfId="1" applyNumberFormat="1" applyFont="1" applyFill="1" applyBorder="1" applyAlignment="1">
      <alignment horizontal="left"/>
    </xf>
    <xf numFmtId="166" fontId="7" fillId="6" borderId="12" xfId="1" applyNumberFormat="1" applyFont="1" applyFill="1" applyBorder="1" applyAlignment="1">
      <alignment horizontal="center"/>
    </xf>
    <xf numFmtId="1" fontId="7" fillId="6" borderId="12" xfId="1" applyNumberFormat="1" applyFont="1" applyFill="1" applyBorder="1" applyAlignment="1">
      <alignment horizontal="center"/>
    </xf>
    <xf numFmtId="164" fontId="7" fillId="6" borderId="12" xfId="1" applyNumberFormat="1" applyFont="1" applyFill="1" applyBorder="1" applyAlignment="1">
      <alignment horizontal="center"/>
    </xf>
    <xf numFmtId="21" fontId="7" fillId="6" borderId="12" xfId="0" applyNumberFormat="1" applyFont="1" applyFill="1" applyBorder="1" applyAlignment="1">
      <alignment horizontal="center"/>
    </xf>
    <xf numFmtId="166" fontId="7" fillId="6" borderId="12" xfId="0" applyNumberFormat="1" applyFont="1" applyFill="1" applyBorder="1" applyAlignment="1">
      <alignment horizontal="center"/>
    </xf>
    <xf numFmtId="9" fontId="7" fillId="6" borderId="12" xfId="1" applyFont="1" applyFill="1" applyBorder="1" applyAlignment="1">
      <alignment horizontal="center"/>
    </xf>
    <xf numFmtId="2" fontId="7" fillId="6" borderId="12" xfId="0" applyNumberFormat="1" applyFont="1" applyFill="1" applyBorder="1" applyAlignment="1">
      <alignment horizontal="center"/>
    </xf>
    <xf numFmtId="9" fontId="7" fillId="6" borderId="5" xfId="1" applyFont="1" applyFill="1" applyBorder="1" applyAlignment="1">
      <alignment horizontal="center"/>
    </xf>
    <xf numFmtId="0" fontId="7" fillId="6" borderId="10" xfId="0" applyFont="1" applyFill="1" applyBorder="1"/>
    <xf numFmtId="0" fontId="7" fillId="6" borderId="0" xfId="0" applyFont="1" applyFill="1" applyBorder="1"/>
    <xf numFmtId="164" fontId="7" fillId="6" borderId="0" xfId="1" applyNumberFormat="1" applyFont="1" applyFill="1" applyBorder="1" applyAlignment="1">
      <alignment horizontal="left"/>
    </xf>
    <xf numFmtId="166" fontId="7" fillId="6" borderId="0" xfId="0" applyNumberFormat="1" applyFont="1" applyFill="1" applyBorder="1"/>
    <xf numFmtId="9" fontId="7" fillId="6" borderId="0" xfId="1" applyFont="1" applyFill="1" applyBorder="1"/>
    <xf numFmtId="9" fontId="7" fillId="6" borderId="11" xfId="1" applyFont="1" applyFill="1" applyBorder="1"/>
    <xf numFmtId="0" fontId="14" fillId="6" borderId="7" xfId="0" applyFont="1" applyFill="1" applyBorder="1"/>
    <xf numFmtId="164" fontId="7" fillId="6" borderId="13" xfId="1" applyNumberFormat="1" applyFont="1" applyFill="1" applyBorder="1" applyAlignment="1">
      <alignment horizontal="left"/>
    </xf>
    <xf numFmtId="166" fontId="7" fillId="6" borderId="13" xfId="0" applyNumberFormat="1" applyFont="1" applyFill="1" applyBorder="1"/>
    <xf numFmtId="9" fontId="7" fillId="6" borderId="13" xfId="1" applyFont="1" applyFill="1" applyBorder="1"/>
    <xf numFmtId="9" fontId="7" fillId="6" borderId="8" xfId="1" applyFont="1" applyFill="1" applyBorder="1"/>
    <xf numFmtId="164" fontId="2" fillId="5" borderId="4" xfId="1" applyNumberFormat="1" applyFont="1" applyFill="1" applyBorder="1" applyAlignment="1">
      <alignment horizontal="left"/>
    </xf>
    <xf numFmtId="166" fontId="2" fillId="5" borderId="12" xfId="1" applyNumberFormat="1" applyFont="1" applyFill="1" applyBorder="1" applyAlignment="1">
      <alignment horizontal="center"/>
    </xf>
    <xf numFmtId="1" fontId="2" fillId="5" borderId="12" xfId="1" applyNumberFormat="1" applyFont="1" applyFill="1" applyBorder="1" applyAlignment="1">
      <alignment horizontal="center"/>
    </xf>
    <xf numFmtId="164" fontId="2" fillId="5" borderId="12" xfId="1" applyNumberFormat="1" applyFont="1" applyFill="1" applyBorder="1" applyAlignment="1">
      <alignment horizontal="center"/>
    </xf>
    <xf numFmtId="21" fontId="2" fillId="5" borderId="12" xfId="0" applyNumberFormat="1" applyFont="1" applyFill="1" applyBorder="1" applyAlignment="1">
      <alignment horizontal="center"/>
    </xf>
    <xf numFmtId="166" fontId="2" fillId="5" borderId="12" xfId="0" applyNumberFormat="1" applyFont="1" applyFill="1" applyBorder="1" applyAlignment="1">
      <alignment horizontal="center"/>
    </xf>
    <xf numFmtId="9" fontId="2" fillId="5" borderId="12" xfId="1" applyFont="1" applyFill="1" applyBorder="1" applyAlignment="1">
      <alignment horizontal="center"/>
    </xf>
    <xf numFmtId="2" fontId="2" fillId="5" borderId="12" xfId="0" applyNumberFormat="1" applyFont="1" applyFill="1" applyBorder="1" applyAlignment="1">
      <alignment horizontal="center"/>
    </xf>
    <xf numFmtId="9" fontId="2" fillId="5" borderId="5" xfId="1" applyFont="1" applyFill="1" applyBorder="1" applyAlignment="1">
      <alignment horizontal="center"/>
    </xf>
    <xf numFmtId="21" fontId="2" fillId="0" borderId="0" xfId="0" applyNumberFormat="1" applyFont="1"/>
    <xf numFmtId="2" fontId="2" fillId="0" borderId="0" xfId="0" applyNumberFormat="1" applyFont="1" applyAlignment="1">
      <alignment horizontal="center"/>
    </xf>
    <xf numFmtId="164" fontId="2" fillId="5" borderId="0" xfId="1" applyNumberFormat="1" applyFont="1" applyFill="1" applyBorder="1" applyAlignment="1">
      <alignment horizontal="left"/>
    </xf>
    <xf numFmtId="166" fontId="2" fillId="5" borderId="0" xfId="0" applyNumberFormat="1" applyFont="1" applyFill="1" applyBorder="1"/>
    <xf numFmtId="9" fontId="2" fillId="5" borderId="0" xfId="1" applyFont="1" applyFill="1" applyBorder="1"/>
    <xf numFmtId="9" fontId="2" fillId="5" borderId="11" xfId="1" applyFont="1" applyFill="1" applyBorder="1"/>
    <xf numFmtId="0" fontId="2" fillId="5" borderId="7" xfId="0" applyFont="1" applyFill="1" applyBorder="1"/>
    <xf numFmtId="0" fontId="2" fillId="5" borderId="13" xfId="0" applyFont="1" applyFill="1" applyBorder="1"/>
    <xf numFmtId="164" fontId="2" fillId="5" borderId="13" xfId="1" applyNumberFormat="1" applyFont="1" applyFill="1" applyBorder="1" applyAlignment="1">
      <alignment horizontal="left"/>
    </xf>
    <xf numFmtId="166" fontId="2" fillId="5" borderId="13" xfId="0" applyNumberFormat="1" applyFont="1" applyFill="1" applyBorder="1"/>
    <xf numFmtId="9" fontId="2" fillId="5" borderId="13" xfId="1" applyFont="1" applyFill="1" applyBorder="1"/>
    <xf numFmtId="9" fontId="2" fillId="5" borderId="8" xfId="1" applyFont="1" applyFill="1" applyBorder="1"/>
    <xf numFmtId="164" fontId="2" fillId="7" borderId="4" xfId="1" applyNumberFormat="1" applyFont="1" applyFill="1" applyBorder="1" applyAlignment="1">
      <alignment horizontal="left"/>
    </xf>
    <xf numFmtId="166" fontId="2" fillId="7" borderId="12" xfId="1" applyNumberFormat="1" applyFont="1" applyFill="1" applyBorder="1" applyAlignment="1">
      <alignment horizontal="center"/>
    </xf>
    <xf numFmtId="1" fontId="2" fillId="7" borderId="12" xfId="1" applyNumberFormat="1" applyFont="1" applyFill="1" applyBorder="1" applyAlignment="1">
      <alignment horizontal="center"/>
    </xf>
    <xf numFmtId="164" fontId="2" fillId="7" borderId="12" xfId="1" applyNumberFormat="1" applyFont="1" applyFill="1" applyBorder="1" applyAlignment="1">
      <alignment horizontal="center"/>
    </xf>
    <xf numFmtId="21" fontId="2" fillId="7" borderId="12" xfId="0" applyNumberFormat="1" applyFont="1" applyFill="1" applyBorder="1" applyAlignment="1">
      <alignment horizontal="center"/>
    </xf>
    <xf numFmtId="166" fontId="2" fillId="7" borderId="12" xfId="0" applyNumberFormat="1" applyFont="1" applyFill="1" applyBorder="1" applyAlignment="1">
      <alignment horizontal="center"/>
    </xf>
    <xf numFmtId="9" fontId="2" fillId="7" borderId="12" xfId="1" applyFont="1" applyFill="1" applyBorder="1" applyAlignment="1">
      <alignment horizontal="center"/>
    </xf>
    <xf numFmtId="2" fontId="2" fillId="7" borderId="12" xfId="0" applyNumberFormat="1" applyFont="1" applyFill="1" applyBorder="1" applyAlignment="1">
      <alignment horizontal="center"/>
    </xf>
    <xf numFmtId="9" fontId="2" fillId="7" borderId="5" xfId="1" applyFont="1" applyFill="1" applyBorder="1" applyAlignment="1">
      <alignment horizontal="center"/>
    </xf>
    <xf numFmtId="0" fontId="2" fillId="7" borderId="10" xfId="0" applyFont="1" applyFill="1" applyBorder="1"/>
    <xf numFmtId="0" fontId="2" fillId="7" borderId="0" xfId="0" applyFont="1" applyFill="1" applyBorder="1"/>
    <xf numFmtId="164" fontId="2" fillId="7" borderId="0" xfId="1" applyNumberFormat="1" applyFont="1" applyFill="1" applyBorder="1" applyAlignment="1">
      <alignment horizontal="left"/>
    </xf>
    <xf numFmtId="166" fontId="2" fillId="7" borderId="0" xfId="0" applyNumberFormat="1" applyFont="1" applyFill="1" applyBorder="1"/>
    <xf numFmtId="9" fontId="2" fillId="7" borderId="0" xfId="1" applyFont="1" applyFill="1" applyBorder="1"/>
    <xf numFmtId="9" fontId="2" fillId="7" borderId="11" xfId="1" applyFont="1" applyFill="1" applyBorder="1"/>
    <xf numFmtId="164" fontId="2" fillId="7" borderId="13" xfId="1" applyNumberFormat="1" applyFont="1" applyFill="1" applyBorder="1" applyAlignment="1">
      <alignment horizontal="left"/>
    </xf>
    <xf numFmtId="166" fontId="2" fillId="7" borderId="13" xfId="0" applyNumberFormat="1" applyFont="1" applyFill="1" applyBorder="1"/>
    <xf numFmtId="9" fontId="2" fillId="7" borderId="13" xfId="1" applyFont="1" applyFill="1" applyBorder="1"/>
    <xf numFmtId="9" fontId="2" fillId="7" borderId="8" xfId="1" applyFont="1" applyFill="1" applyBorder="1"/>
    <xf numFmtId="0" fontId="9" fillId="0" borderId="0" xfId="0" applyFont="1" applyFill="1" applyBorder="1"/>
    <xf numFmtId="0" fontId="9" fillId="0" borderId="13" xfId="0" applyFont="1" applyFill="1" applyBorder="1"/>
    <xf numFmtId="0" fontId="15" fillId="0" borderId="0" xfId="0" applyFont="1" applyAlignment="1">
      <alignment horizontal="justify"/>
    </xf>
    <xf numFmtId="0" fontId="2" fillId="0" borderId="0" xfId="0" applyFont="1" applyAlignment="1">
      <alignment horizontal="center"/>
    </xf>
    <xf numFmtId="0" fontId="3" fillId="0" borderId="0" xfId="0" applyFont="1" applyAlignment="1">
      <alignment horizontal="center"/>
    </xf>
    <xf numFmtId="0" fontId="16" fillId="0" borderId="0" xfId="0" applyFont="1" applyAlignment="1">
      <alignment horizontal="center"/>
    </xf>
    <xf numFmtId="20" fontId="2" fillId="0" borderId="0" xfId="0" applyNumberFormat="1" applyFont="1"/>
    <xf numFmtId="164" fontId="2" fillId="0" borderId="0" xfId="1" applyNumberFormat="1" applyFont="1"/>
    <xf numFmtId="0" fontId="17" fillId="0" borderId="0" xfId="0" applyFont="1"/>
    <xf numFmtId="0" fontId="2" fillId="3" borderId="0" xfId="0" applyFont="1" applyFill="1" applyAlignment="1">
      <alignment horizontal="left" vertical="top" wrapText="1"/>
    </xf>
    <xf numFmtId="0" fontId="17" fillId="0" borderId="0" xfId="0" applyFont="1" applyAlignment="1">
      <alignment vertical="top" wrapText="1"/>
    </xf>
    <xf numFmtId="0" fontId="18" fillId="0" borderId="0" xfId="0" applyFont="1"/>
    <xf numFmtId="0" fontId="2" fillId="2" borderId="0" xfId="0" applyFont="1" applyFill="1" applyAlignment="1">
      <alignment horizontal="left" vertical="top" wrapText="1"/>
    </xf>
    <xf numFmtId="0" fontId="2" fillId="0" borderId="0" xfId="0" applyFont="1" applyAlignment="1">
      <alignment vertical="top" wrapText="1"/>
    </xf>
    <xf numFmtId="0" fontId="19" fillId="0" borderId="0" xfId="0" applyFont="1"/>
    <xf numFmtId="0" fontId="2" fillId="8" borderId="0" xfId="0" applyFont="1" applyFill="1" applyAlignment="1">
      <alignment horizontal="left" vertical="top" wrapText="1"/>
    </xf>
    <xf numFmtId="0" fontId="0" fillId="0" borderId="0" xfId="0" applyAlignment="1">
      <alignment vertical="top" wrapText="1"/>
    </xf>
    <xf numFmtId="0" fontId="20" fillId="0" borderId="0" xfId="0" applyFont="1"/>
    <xf numFmtId="166" fontId="2" fillId="0" borderId="12" xfId="1" applyNumberFormat="1" applyFont="1" applyFill="1" applyBorder="1" applyAlignment="1">
      <alignment horizontal="right"/>
    </xf>
    <xf numFmtId="166" fontId="2" fillId="0" borderId="0" xfId="1" applyNumberFormat="1" applyFont="1" applyFill="1" applyBorder="1" applyAlignment="1">
      <alignment horizontal="right"/>
    </xf>
    <xf numFmtId="166" fontId="2" fillId="2" borderId="0" xfId="1" applyNumberFormat="1" applyFont="1" applyFill="1" applyBorder="1" applyAlignment="1">
      <alignment horizontal="right"/>
    </xf>
    <xf numFmtId="166" fontId="2" fillId="3" borderId="0" xfId="1" applyNumberFormat="1" applyFont="1" applyFill="1" applyBorder="1" applyAlignment="1">
      <alignment horizontal="right"/>
    </xf>
    <xf numFmtId="166" fontId="2" fillId="4" borderId="0" xfId="1" applyNumberFormat="1" applyFont="1" applyFill="1" applyBorder="1" applyAlignment="1">
      <alignment horizontal="right"/>
    </xf>
    <xf numFmtId="166" fontId="2" fillId="5" borderId="0" xfId="1" applyNumberFormat="1" applyFont="1" applyFill="1" applyBorder="1" applyAlignment="1">
      <alignment horizontal="right"/>
    </xf>
    <xf numFmtId="166" fontId="7" fillId="6" borderId="13" xfId="1" applyNumberFormat="1" applyFont="1" applyFill="1" applyBorder="1" applyAlignment="1">
      <alignment horizontal="right"/>
    </xf>
    <xf numFmtId="166" fontId="2" fillId="7" borderId="13" xfId="1" applyNumberFormat="1" applyFont="1" applyFill="1" applyBorder="1" applyAlignment="1">
      <alignment horizontal="right"/>
    </xf>
    <xf numFmtId="166" fontId="3" fillId="0" borderId="0" xfId="0" applyNumberFormat="1" applyFont="1"/>
    <xf numFmtId="0" fontId="12" fillId="4" borderId="0" xfId="0" applyFont="1" applyFill="1" applyBorder="1"/>
    <xf numFmtId="164" fontId="13" fillId="4" borderId="0" xfId="1" applyNumberFormat="1" applyFont="1" applyFill="1" applyBorder="1" applyAlignment="1">
      <alignment horizontal="left"/>
    </xf>
    <xf numFmtId="0" fontId="12" fillId="4" borderId="13" xfId="0" applyFont="1" applyFill="1" applyBorder="1"/>
    <xf numFmtId="164" fontId="13" fillId="4" borderId="13" xfId="1" applyNumberFormat="1" applyFont="1" applyFill="1" applyBorder="1" applyAlignment="1">
      <alignment horizontal="left"/>
    </xf>
    <xf numFmtId="164" fontId="13" fillId="2" borderId="0" xfId="1" applyNumberFormat="1" applyFont="1" applyFill="1" applyBorder="1" applyAlignment="1">
      <alignment horizontal="left"/>
    </xf>
    <xf numFmtId="0" fontId="11" fillId="2" borderId="7" xfId="0" applyFont="1" applyFill="1" applyBorder="1"/>
    <xf numFmtId="164" fontId="13" fillId="2" borderId="13" xfId="1" applyNumberFormat="1" applyFont="1" applyFill="1" applyBorder="1" applyAlignment="1">
      <alignment horizontal="left"/>
    </xf>
    <xf numFmtId="0" fontId="21" fillId="6" borderId="0" xfId="0" applyFont="1" applyFill="1" applyBorder="1"/>
    <xf numFmtId="0" fontId="21" fillId="6" borderId="13" xfId="0" applyFont="1" applyFill="1" applyBorder="1"/>
    <xf numFmtId="164" fontId="2" fillId="3" borderId="4" xfId="1" applyNumberFormat="1" applyFont="1" applyFill="1" applyBorder="1" applyAlignment="1">
      <alignment horizontal="left"/>
    </xf>
    <xf numFmtId="166" fontId="2" fillId="3" borderId="12" xfId="1" applyNumberFormat="1" applyFont="1" applyFill="1" applyBorder="1" applyAlignment="1">
      <alignment horizontal="center"/>
    </xf>
    <xf numFmtId="1" fontId="2" fillId="3" borderId="12" xfId="1" applyNumberFormat="1" applyFont="1" applyFill="1" applyBorder="1" applyAlignment="1">
      <alignment horizontal="center"/>
    </xf>
    <xf numFmtId="164" fontId="2" fillId="3" borderId="12" xfId="1" applyNumberFormat="1" applyFont="1" applyFill="1" applyBorder="1" applyAlignment="1">
      <alignment horizontal="center"/>
    </xf>
    <xf numFmtId="21" fontId="2" fillId="3" borderId="12" xfId="0" applyNumberFormat="1" applyFont="1" applyFill="1" applyBorder="1" applyAlignment="1">
      <alignment horizontal="center"/>
    </xf>
    <xf numFmtId="166" fontId="2" fillId="3" borderId="12" xfId="0" applyNumberFormat="1" applyFont="1" applyFill="1" applyBorder="1" applyAlignment="1">
      <alignment horizontal="center"/>
    </xf>
    <xf numFmtId="9" fontId="2" fillId="3" borderId="12" xfId="1" applyFont="1" applyFill="1" applyBorder="1" applyAlignment="1">
      <alignment horizontal="center"/>
    </xf>
    <xf numFmtId="2" fontId="2" fillId="3" borderId="12" xfId="0" applyNumberFormat="1" applyFont="1" applyFill="1" applyBorder="1" applyAlignment="1">
      <alignment horizontal="center"/>
    </xf>
    <xf numFmtId="9" fontId="2" fillId="3" borderId="5" xfId="1" applyFont="1" applyFill="1" applyBorder="1" applyAlignment="1">
      <alignment horizontal="center"/>
    </xf>
    <xf numFmtId="164" fontId="2" fillId="3" borderId="0" xfId="1" applyNumberFormat="1" applyFont="1" applyFill="1" applyBorder="1" applyAlignment="1">
      <alignment horizontal="left"/>
    </xf>
    <xf numFmtId="166" fontId="2" fillId="3" borderId="0" xfId="0" applyNumberFormat="1" applyFont="1" applyFill="1" applyBorder="1"/>
    <xf numFmtId="9" fontId="2" fillId="3" borderId="0" xfId="1" applyFont="1" applyFill="1" applyBorder="1"/>
    <xf numFmtId="9" fontId="2" fillId="3" borderId="11" xfId="1" applyFont="1" applyFill="1" applyBorder="1"/>
    <xf numFmtId="0" fontId="2" fillId="3" borderId="7" xfId="0" applyFont="1" applyFill="1" applyBorder="1"/>
    <xf numFmtId="0" fontId="2" fillId="3" borderId="13" xfId="0" applyFont="1" applyFill="1" applyBorder="1"/>
    <xf numFmtId="164" fontId="2" fillId="3" borderId="13" xfId="1" applyNumberFormat="1" applyFont="1" applyFill="1" applyBorder="1" applyAlignment="1">
      <alignment horizontal="left"/>
    </xf>
    <xf numFmtId="166" fontId="2" fillId="3" borderId="13" xfId="0" applyNumberFormat="1" applyFont="1" applyFill="1" applyBorder="1"/>
    <xf numFmtId="9" fontId="2" fillId="3" borderId="13" xfId="1" applyFont="1" applyFill="1" applyBorder="1"/>
    <xf numFmtId="9" fontId="2" fillId="3" borderId="8" xfId="1" applyFont="1" applyFill="1" applyBorder="1"/>
    <xf numFmtId="164" fontId="2" fillId="9" borderId="4" xfId="1" applyNumberFormat="1" applyFont="1" applyFill="1" applyBorder="1" applyAlignment="1">
      <alignment horizontal="left"/>
    </xf>
    <xf numFmtId="166" fontId="2" fillId="9" borderId="12" xfId="1" applyNumberFormat="1" applyFont="1" applyFill="1" applyBorder="1" applyAlignment="1">
      <alignment horizontal="center"/>
    </xf>
    <xf numFmtId="1" fontId="2" fillId="9" borderId="12" xfId="1" applyNumberFormat="1" applyFont="1" applyFill="1" applyBorder="1" applyAlignment="1">
      <alignment horizontal="center"/>
    </xf>
    <xf numFmtId="164" fontId="2" fillId="9" borderId="12" xfId="1" applyNumberFormat="1" applyFont="1" applyFill="1" applyBorder="1" applyAlignment="1">
      <alignment horizontal="center"/>
    </xf>
    <xf numFmtId="21" fontId="2" fillId="9" borderId="12" xfId="0" applyNumberFormat="1" applyFont="1" applyFill="1" applyBorder="1" applyAlignment="1">
      <alignment horizontal="center"/>
    </xf>
    <xf numFmtId="166" fontId="2" fillId="9" borderId="12" xfId="0" applyNumberFormat="1" applyFont="1" applyFill="1" applyBorder="1" applyAlignment="1">
      <alignment horizontal="center"/>
    </xf>
    <xf numFmtId="9" fontId="2" fillId="9" borderId="12" xfId="1" applyFont="1" applyFill="1" applyBorder="1" applyAlignment="1">
      <alignment horizontal="center"/>
    </xf>
    <xf numFmtId="2" fontId="2" fillId="9" borderId="12" xfId="0" applyNumberFormat="1" applyFont="1" applyFill="1" applyBorder="1" applyAlignment="1">
      <alignment horizontal="center"/>
    </xf>
    <xf numFmtId="9" fontId="2" fillId="9" borderId="5" xfId="1" applyFont="1" applyFill="1" applyBorder="1" applyAlignment="1">
      <alignment horizontal="center"/>
    </xf>
    <xf numFmtId="0" fontId="2" fillId="9" borderId="10" xfId="0" applyFont="1" applyFill="1" applyBorder="1"/>
    <xf numFmtId="0" fontId="3" fillId="9" borderId="0" xfId="0" applyFont="1" applyFill="1" applyBorder="1"/>
    <xf numFmtId="164" fontId="2" fillId="9" borderId="0" xfId="1" applyNumberFormat="1" applyFont="1" applyFill="1" applyBorder="1" applyAlignment="1">
      <alignment horizontal="left"/>
    </xf>
    <xf numFmtId="0" fontId="2" fillId="9" borderId="0" xfId="0" applyFont="1" applyFill="1" applyBorder="1"/>
    <xf numFmtId="166" fontId="2" fillId="9" borderId="0" xfId="0" applyNumberFormat="1" applyFont="1" applyFill="1" applyBorder="1"/>
    <xf numFmtId="9" fontId="2" fillId="9" borderId="0" xfId="1" applyFont="1" applyFill="1" applyBorder="1"/>
    <xf numFmtId="9" fontId="2" fillId="9" borderId="11" xfId="1" applyFont="1" applyFill="1" applyBorder="1"/>
    <xf numFmtId="0" fontId="2" fillId="9" borderId="7" xfId="0" applyFont="1" applyFill="1" applyBorder="1"/>
    <xf numFmtId="0" fontId="3" fillId="9" borderId="13" xfId="0" applyFont="1" applyFill="1" applyBorder="1"/>
    <xf numFmtId="164" fontId="2" fillId="9" borderId="13" xfId="1" applyNumberFormat="1" applyFont="1" applyFill="1" applyBorder="1" applyAlignment="1">
      <alignment horizontal="left"/>
    </xf>
    <xf numFmtId="0" fontId="2" fillId="9" borderId="13" xfId="0" applyFont="1" applyFill="1" applyBorder="1"/>
    <xf numFmtId="166" fontId="2" fillId="9" borderId="13" xfId="0" applyNumberFormat="1" applyFont="1" applyFill="1" applyBorder="1"/>
    <xf numFmtId="9" fontId="2" fillId="9" borderId="13" xfId="1" applyFont="1" applyFill="1" applyBorder="1"/>
    <xf numFmtId="9" fontId="2" fillId="9" borderId="8" xfId="1" applyFont="1" applyFill="1" applyBorder="1"/>
    <xf numFmtId="164" fontId="9" fillId="0" borderId="0" xfId="1" applyNumberFormat="1" applyFont="1" applyFill="1" applyBorder="1" applyAlignment="1">
      <alignment horizontal="left"/>
    </xf>
    <xf numFmtId="1" fontId="4" fillId="0" borderId="0" xfId="0" applyNumberFormat="1" applyFont="1"/>
    <xf numFmtId="0" fontId="3" fillId="5" borderId="0" xfId="0" applyFont="1" applyFill="1" applyBorder="1"/>
    <xf numFmtId="0" fontId="3" fillId="5" borderId="13" xfId="0" applyFont="1" applyFill="1" applyBorder="1"/>
    <xf numFmtId="0" fontId="2" fillId="0" borderId="1" xfId="0" applyFont="1" applyBorder="1" applyAlignment="1">
      <alignment horizontal="center"/>
    </xf>
    <xf numFmtId="0" fontId="2" fillId="0" borderId="2" xfId="0" applyFont="1" applyBorder="1" applyAlignment="1">
      <alignment horizontal="center"/>
    </xf>
    <xf numFmtId="164" fontId="22" fillId="4" borderId="4" xfId="1" applyNumberFormat="1" applyFont="1" applyFill="1" applyBorder="1" applyAlignment="1">
      <alignment horizontal="left"/>
    </xf>
    <xf numFmtId="166" fontId="22" fillId="4" borderId="12" xfId="1" applyNumberFormat="1" applyFont="1" applyFill="1" applyBorder="1" applyAlignment="1">
      <alignment horizontal="center"/>
    </xf>
    <xf numFmtId="1" fontId="22" fillId="4" borderId="12" xfId="1" applyNumberFormat="1" applyFont="1" applyFill="1" applyBorder="1" applyAlignment="1">
      <alignment horizontal="center"/>
    </xf>
    <xf numFmtId="164" fontId="22" fillId="4" borderId="12" xfId="1" applyNumberFormat="1" applyFont="1" applyFill="1" applyBorder="1" applyAlignment="1">
      <alignment horizontal="center"/>
    </xf>
    <xf numFmtId="21" fontId="22" fillId="4" borderId="12" xfId="0" applyNumberFormat="1" applyFont="1" applyFill="1" applyBorder="1" applyAlignment="1">
      <alignment horizontal="center"/>
    </xf>
    <xf numFmtId="166" fontId="22" fillId="4" borderId="12" xfId="0" applyNumberFormat="1" applyFont="1" applyFill="1" applyBorder="1" applyAlignment="1">
      <alignment horizontal="center"/>
    </xf>
    <xf numFmtId="9" fontId="22" fillId="4" borderId="12" xfId="1" applyFont="1" applyFill="1" applyBorder="1" applyAlignment="1">
      <alignment horizontal="center"/>
    </xf>
    <xf numFmtId="9" fontId="22" fillId="4" borderId="5" xfId="1" applyFont="1" applyFill="1" applyBorder="1" applyAlignment="1">
      <alignment horizontal="center"/>
    </xf>
    <xf numFmtId="0" fontId="22" fillId="4" borderId="10" xfId="0" applyFont="1" applyFill="1" applyBorder="1"/>
    <xf numFmtId="0" fontId="23" fillId="4" borderId="0" xfId="0" applyFont="1" applyFill="1" applyBorder="1"/>
    <xf numFmtId="164" fontId="22" fillId="4" borderId="0" xfId="1" applyNumberFormat="1" applyFont="1" applyFill="1" applyBorder="1" applyAlignment="1">
      <alignment horizontal="left"/>
    </xf>
    <xf numFmtId="0" fontId="22" fillId="4" borderId="0" xfId="0" applyFont="1" applyFill="1" applyBorder="1"/>
    <xf numFmtId="166" fontId="22" fillId="4" borderId="0" xfId="0" applyNumberFormat="1" applyFont="1" applyFill="1" applyBorder="1"/>
    <xf numFmtId="9" fontId="22" fillId="4" borderId="0" xfId="1" applyFont="1" applyFill="1" applyBorder="1"/>
    <xf numFmtId="9" fontId="22" fillId="4" borderId="11" xfId="1" applyFont="1" applyFill="1" applyBorder="1"/>
    <xf numFmtId="0" fontId="11" fillId="4" borderId="7" xfId="0" applyFont="1" applyFill="1" applyBorder="1"/>
    <xf numFmtId="0" fontId="23" fillId="4" borderId="13" xfId="0" applyFont="1" applyFill="1" applyBorder="1"/>
    <xf numFmtId="164" fontId="22" fillId="4" borderId="13" xfId="1" applyNumberFormat="1" applyFont="1" applyFill="1" applyBorder="1" applyAlignment="1">
      <alignment horizontal="left"/>
    </xf>
    <xf numFmtId="0" fontId="22" fillId="4" borderId="13" xfId="0" applyFont="1" applyFill="1" applyBorder="1"/>
    <xf numFmtId="166" fontId="22" fillId="4" borderId="13" xfId="0" applyNumberFormat="1" applyFont="1" applyFill="1" applyBorder="1"/>
    <xf numFmtId="9" fontId="22" fillId="4" borderId="13" xfId="1" applyFont="1" applyFill="1" applyBorder="1"/>
    <xf numFmtId="9" fontId="22" fillId="4" borderId="8" xfId="1" applyFont="1" applyFill="1" applyBorder="1"/>
  </cellXfs>
  <cellStyles count="3">
    <cellStyle name="Hyperlink" xfId="2" builtinId="8"/>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png"/><Relationship Id="rId1" Type="http://schemas.openxmlformats.org/officeDocument/2006/relationships/image" Target="../media/image12.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8.jpeg"/><Relationship Id="rId4" Type="http://schemas.openxmlformats.org/officeDocument/2006/relationships/image" Target="../media/image21.gi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140</xdr:row>
      <xdr:rowOff>1</xdr:rowOff>
    </xdr:from>
    <xdr:to>
      <xdr:col>14</xdr:col>
      <xdr:colOff>48868</xdr:colOff>
      <xdr:row>167</xdr:row>
      <xdr:rowOff>138132</xdr:rowOff>
    </xdr:to>
    <xdr:pic>
      <xdr:nvPicPr>
        <xdr:cNvPr id="2" name="Picture 7" descr="http://www.climbbybike.com/profile/Col-de-la-Colombière-Scionzier-profile.jpg"/>
        <xdr:cNvPicPr>
          <a:picLocks noChangeAspect="1" noChangeArrowheads="1"/>
        </xdr:cNvPicPr>
      </xdr:nvPicPr>
      <xdr:blipFill>
        <a:blip xmlns:r="http://schemas.openxmlformats.org/officeDocument/2006/relationships" r:embed="rId1" cstate="print"/>
        <a:srcRect/>
        <a:stretch>
          <a:fillRect/>
        </a:stretch>
      </xdr:blipFill>
      <xdr:spPr bwMode="auto">
        <a:xfrm>
          <a:off x="609601" y="21745576"/>
          <a:ext cx="7811742" cy="3995756"/>
        </a:xfrm>
        <a:prstGeom prst="rect">
          <a:avLst/>
        </a:prstGeom>
        <a:noFill/>
      </xdr:spPr>
    </xdr:pic>
    <xdr:clientData/>
  </xdr:twoCellAnchor>
  <xdr:twoCellAnchor editAs="oneCell">
    <xdr:from>
      <xdr:col>9</xdr:col>
      <xdr:colOff>41410</xdr:colOff>
      <xdr:row>98</xdr:row>
      <xdr:rowOff>8280</xdr:rowOff>
    </xdr:from>
    <xdr:to>
      <xdr:col>18</xdr:col>
      <xdr:colOff>9525</xdr:colOff>
      <xdr:row>117</xdr:row>
      <xdr:rowOff>71460</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108835" y="12381255"/>
          <a:ext cx="4349615" cy="2777805"/>
        </a:xfrm>
        <a:prstGeom prst="rect">
          <a:avLst/>
        </a:prstGeom>
        <a:noFill/>
      </xdr:spPr>
    </xdr:pic>
    <xdr:clientData/>
  </xdr:twoCellAnchor>
  <xdr:twoCellAnchor editAs="oneCell">
    <xdr:from>
      <xdr:col>1</xdr:col>
      <xdr:colOff>8276</xdr:colOff>
      <xdr:row>97</xdr:row>
      <xdr:rowOff>140795</xdr:rowOff>
    </xdr:from>
    <xdr:to>
      <xdr:col>9</xdr:col>
      <xdr:colOff>422</xdr:colOff>
      <xdr:row>127</xdr:row>
      <xdr:rowOff>111569</xdr:rowOff>
    </xdr:to>
    <xdr:pic>
      <xdr:nvPicPr>
        <xdr:cNvPr id="4" name="Picture 3" descr="http://www.hauteroute.org/images/uploads/stage%201%20itinary.png"/>
        <xdr:cNvPicPr>
          <a:picLocks noChangeAspect="1" noChangeArrowheads="1"/>
        </xdr:cNvPicPr>
      </xdr:nvPicPr>
      <xdr:blipFill>
        <a:blip xmlns:r="http://schemas.openxmlformats.org/officeDocument/2006/relationships" r:embed="rId3" cstate="print"/>
        <a:srcRect/>
        <a:stretch>
          <a:fillRect/>
        </a:stretch>
      </xdr:blipFill>
      <xdr:spPr bwMode="auto">
        <a:xfrm>
          <a:off x="617876" y="12370895"/>
          <a:ext cx="5449971" cy="4257024"/>
        </a:xfrm>
        <a:prstGeom prst="rect">
          <a:avLst/>
        </a:prstGeom>
        <a:noFill/>
      </xdr:spPr>
    </xdr:pic>
    <xdr:clientData/>
  </xdr:twoCellAnchor>
  <xdr:twoCellAnchor editAs="oneCell">
    <xdr:from>
      <xdr:col>1</xdr:col>
      <xdr:colOff>530088</xdr:colOff>
      <xdr:row>169</xdr:row>
      <xdr:rowOff>82826</xdr:rowOff>
    </xdr:from>
    <xdr:to>
      <xdr:col>19</xdr:col>
      <xdr:colOff>256761</xdr:colOff>
      <xdr:row>176</xdr:row>
      <xdr:rowOff>24847</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1139688" y="25971776"/>
          <a:ext cx="10175598" cy="942146"/>
        </a:xfrm>
        <a:prstGeom prst="rect">
          <a:avLst/>
        </a:prstGeom>
        <a:noFill/>
      </xdr:spPr>
    </xdr:pic>
    <xdr:clientData/>
  </xdr:twoCellAnchor>
  <xdr:twoCellAnchor editAs="oneCell">
    <xdr:from>
      <xdr:col>18</xdr:col>
      <xdr:colOff>0</xdr:colOff>
      <xdr:row>98</xdr:row>
      <xdr:rowOff>0</xdr:rowOff>
    </xdr:from>
    <xdr:to>
      <xdr:col>23</xdr:col>
      <xdr:colOff>448626</xdr:colOff>
      <xdr:row>117</xdr:row>
      <xdr:rowOff>19050</xdr:rowOff>
    </xdr:to>
    <xdr:pic>
      <xdr:nvPicPr>
        <xdr:cNvPr id="6" name="Picture 5" descr="http://www.hauteroute.org/images/uploads/stage1.jpg"/>
        <xdr:cNvPicPr>
          <a:picLocks noChangeAspect="1" noChangeArrowheads="1"/>
        </xdr:cNvPicPr>
      </xdr:nvPicPr>
      <xdr:blipFill>
        <a:blip xmlns:r="http://schemas.openxmlformats.org/officeDocument/2006/relationships" r:embed="rId5" cstate="print"/>
        <a:srcRect/>
        <a:stretch>
          <a:fillRect/>
        </a:stretch>
      </xdr:blipFill>
      <xdr:spPr bwMode="auto">
        <a:xfrm>
          <a:off x="10448925" y="12372975"/>
          <a:ext cx="3496626" cy="27336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74</xdr:row>
      <xdr:rowOff>1</xdr:rowOff>
    </xdr:from>
    <xdr:to>
      <xdr:col>8</xdr:col>
      <xdr:colOff>49697</xdr:colOff>
      <xdr:row>98</xdr:row>
      <xdr:rowOff>93181</xdr:rowOff>
    </xdr:to>
    <xdr:pic>
      <xdr:nvPicPr>
        <xdr:cNvPr id="2" name="Picture 3" descr="http://www.hauteroute.org/images/uploads/stage%202%20itinary.png"/>
        <xdr:cNvPicPr>
          <a:picLocks noChangeAspect="1" noChangeArrowheads="1"/>
        </xdr:cNvPicPr>
      </xdr:nvPicPr>
      <xdr:blipFill>
        <a:blip xmlns:r="http://schemas.openxmlformats.org/officeDocument/2006/relationships" r:embed="rId1" cstate="print"/>
        <a:srcRect/>
        <a:stretch>
          <a:fillRect/>
        </a:stretch>
      </xdr:blipFill>
      <xdr:spPr bwMode="auto">
        <a:xfrm>
          <a:off x="609602" y="9467851"/>
          <a:ext cx="5345595" cy="3522180"/>
        </a:xfrm>
        <a:prstGeom prst="rect">
          <a:avLst/>
        </a:prstGeom>
        <a:noFill/>
      </xdr:spPr>
    </xdr:pic>
    <xdr:clientData/>
  </xdr:twoCellAnchor>
  <xdr:twoCellAnchor editAs="oneCell">
    <xdr:from>
      <xdr:col>9</xdr:col>
      <xdr:colOff>0</xdr:colOff>
      <xdr:row>73</xdr:row>
      <xdr:rowOff>49691</xdr:rowOff>
    </xdr:from>
    <xdr:to>
      <xdr:col>17</xdr:col>
      <xdr:colOff>533400</xdr:colOff>
      <xdr:row>96</xdr:row>
      <xdr:rowOff>19729</xdr:rowOff>
    </xdr:to>
    <xdr:pic>
      <xdr:nvPicPr>
        <xdr:cNvPr id="3" name="Picture 1" descr="http://www.hauteroute.org/images/uploads/profil%20etape%202.jpg"/>
        <xdr:cNvPicPr>
          <a:picLocks noChangeAspect="1" noChangeArrowheads="1"/>
        </xdr:cNvPicPr>
      </xdr:nvPicPr>
      <xdr:blipFill>
        <a:blip xmlns:r="http://schemas.openxmlformats.org/officeDocument/2006/relationships" r:embed="rId2" cstate="print"/>
        <a:srcRect/>
        <a:stretch>
          <a:fillRect/>
        </a:stretch>
      </xdr:blipFill>
      <xdr:spPr bwMode="auto">
        <a:xfrm>
          <a:off x="6419850" y="9374666"/>
          <a:ext cx="4371975" cy="3256163"/>
        </a:xfrm>
        <a:prstGeom prst="rect">
          <a:avLst/>
        </a:prstGeom>
        <a:noFill/>
      </xdr:spPr>
    </xdr:pic>
    <xdr:clientData/>
  </xdr:twoCellAnchor>
  <xdr:twoCellAnchor editAs="oneCell">
    <xdr:from>
      <xdr:col>1</xdr:col>
      <xdr:colOff>0</xdr:colOff>
      <xdr:row>114</xdr:row>
      <xdr:rowOff>0</xdr:rowOff>
    </xdr:from>
    <xdr:to>
      <xdr:col>10</xdr:col>
      <xdr:colOff>8780</xdr:colOff>
      <xdr:row>136</xdr:row>
      <xdr:rowOff>60793</xdr:rowOff>
    </xdr:to>
    <xdr:pic>
      <xdr:nvPicPr>
        <xdr:cNvPr id="4" name="Picture 4" descr="http://climbbybike.com/profile/Col_des_Saisies_Flumet_profile.jpg"/>
        <xdr:cNvPicPr>
          <a:picLocks noChangeAspect="1" noChangeArrowheads="1"/>
        </xdr:cNvPicPr>
      </xdr:nvPicPr>
      <xdr:blipFill>
        <a:blip xmlns:r="http://schemas.openxmlformats.org/officeDocument/2006/relationships" r:embed="rId3" cstate="print"/>
        <a:srcRect/>
        <a:stretch>
          <a:fillRect/>
        </a:stretch>
      </xdr:blipFill>
      <xdr:spPr bwMode="auto">
        <a:xfrm>
          <a:off x="609600" y="18116550"/>
          <a:ext cx="6333380" cy="3204043"/>
        </a:xfrm>
        <a:prstGeom prst="rect">
          <a:avLst/>
        </a:prstGeom>
        <a:noFill/>
      </xdr:spPr>
    </xdr:pic>
    <xdr:clientData/>
  </xdr:twoCellAnchor>
  <xdr:twoCellAnchor editAs="oneCell">
    <xdr:from>
      <xdr:col>1</xdr:col>
      <xdr:colOff>0</xdr:colOff>
      <xdr:row>137</xdr:row>
      <xdr:rowOff>0</xdr:rowOff>
    </xdr:from>
    <xdr:to>
      <xdr:col>11</xdr:col>
      <xdr:colOff>2861</xdr:colOff>
      <xdr:row>161</xdr:row>
      <xdr:rowOff>10210</xdr:rowOff>
    </xdr:to>
    <xdr:pic>
      <xdr:nvPicPr>
        <xdr:cNvPr id="5" name="Picture 5" descr="http://climbbybike.com/profile/Cormet-de-Roselend-Beaufort-profile.jpg"/>
        <xdr:cNvPicPr>
          <a:picLocks noChangeAspect="1" noChangeArrowheads="1"/>
        </xdr:cNvPicPr>
      </xdr:nvPicPr>
      <xdr:blipFill>
        <a:blip xmlns:r="http://schemas.openxmlformats.org/officeDocument/2006/relationships" r:embed="rId4" cstate="print"/>
        <a:srcRect/>
        <a:stretch>
          <a:fillRect/>
        </a:stretch>
      </xdr:blipFill>
      <xdr:spPr bwMode="auto">
        <a:xfrm>
          <a:off x="609600" y="21402675"/>
          <a:ext cx="6889436" cy="3439210"/>
        </a:xfrm>
        <a:prstGeom prst="rect">
          <a:avLst/>
        </a:prstGeom>
        <a:noFill/>
      </xdr:spPr>
    </xdr:pic>
    <xdr:clientData/>
  </xdr:twoCellAnchor>
  <xdr:twoCellAnchor editAs="oneCell">
    <xdr:from>
      <xdr:col>1</xdr:col>
      <xdr:colOff>0</xdr:colOff>
      <xdr:row>162</xdr:row>
      <xdr:rowOff>0</xdr:rowOff>
    </xdr:from>
    <xdr:to>
      <xdr:col>12</xdr:col>
      <xdr:colOff>348612</xdr:colOff>
      <xdr:row>193</xdr:row>
      <xdr:rowOff>35066</xdr:rowOff>
    </xdr:to>
    <xdr:pic>
      <xdr:nvPicPr>
        <xdr:cNvPr id="6"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609600" y="24974550"/>
          <a:ext cx="7320912" cy="4464191"/>
        </a:xfrm>
        <a:prstGeom prst="rect">
          <a:avLst/>
        </a:prstGeom>
        <a:noFill/>
        <a:ln w="1">
          <a:noFill/>
          <a:miter lim="800000"/>
          <a:headEnd/>
          <a:tailEnd type="none" w="med" len="med"/>
        </a:ln>
        <a:effectLst/>
      </xdr:spPr>
    </xdr:pic>
    <xdr:clientData/>
  </xdr:twoCellAnchor>
  <xdr:twoCellAnchor editAs="oneCell">
    <xdr:from>
      <xdr:col>18</xdr:col>
      <xdr:colOff>57150</xdr:colOff>
      <xdr:row>74</xdr:row>
      <xdr:rowOff>0</xdr:rowOff>
    </xdr:from>
    <xdr:to>
      <xdr:col>24</xdr:col>
      <xdr:colOff>133350</xdr:colOff>
      <xdr:row>93</xdr:row>
      <xdr:rowOff>137077</xdr:rowOff>
    </xdr:to>
    <xdr:pic>
      <xdr:nvPicPr>
        <xdr:cNvPr id="7" name="Picture 2" descr="http://www.hauteroute.org/images/uploads/stage2.jpg"/>
        <xdr:cNvPicPr>
          <a:picLocks noChangeAspect="1" noChangeArrowheads="1"/>
        </xdr:cNvPicPr>
      </xdr:nvPicPr>
      <xdr:blipFill>
        <a:blip xmlns:r="http://schemas.openxmlformats.org/officeDocument/2006/relationships" r:embed="rId6" cstate="print"/>
        <a:srcRect/>
        <a:stretch>
          <a:fillRect/>
        </a:stretch>
      </xdr:blipFill>
      <xdr:spPr bwMode="auto">
        <a:xfrm>
          <a:off x="10858500" y="9467850"/>
          <a:ext cx="3733800" cy="2851702"/>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93</xdr:row>
      <xdr:rowOff>19050</xdr:rowOff>
    </xdr:from>
    <xdr:to>
      <xdr:col>18</xdr:col>
      <xdr:colOff>9525</xdr:colOff>
      <xdr:row>112</xdr:row>
      <xdr:rowOff>21374</xdr:rowOff>
    </xdr:to>
    <xdr:pic>
      <xdr:nvPicPr>
        <xdr:cNvPr id="2" name="Picture 1" descr="http://www.hauteroute.org/images/uploads/ProfilStage3.jpg"/>
        <xdr:cNvPicPr>
          <a:picLocks noChangeAspect="1" noChangeArrowheads="1"/>
        </xdr:cNvPicPr>
      </xdr:nvPicPr>
      <xdr:blipFill>
        <a:blip xmlns:r="http://schemas.openxmlformats.org/officeDocument/2006/relationships" r:embed="rId1" cstate="print"/>
        <a:srcRect/>
        <a:stretch>
          <a:fillRect/>
        </a:stretch>
      </xdr:blipFill>
      <xdr:spPr bwMode="auto">
        <a:xfrm>
          <a:off x="6419850" y="11772900"/>
          <a:ext cx="4391025" cy="2716949"/>
        </a:xfrm>
        <a:prstGeom prst="rect">
          <a:avLst/>
        </a:prstGeom>
        <a:noFill/>
      </xdr:spPr>
    </xdr:pic>
    <xdr:clientData/>
  </xdr:twoCellAnchor>
  <xdr:twoCellAnchor editAs="oneCell">
    <xdr:from>
      <xdr:col>1</xdr:col>
      <xdr:colOff>0</xdr:colOff>
      <xdr:row>94</xdr:row>
      <xdr:rowOff>0</xdr:rowOff>
    </xdr:from>
    <xdr:to>
      <xdr:col>8</xdr:col>
      <xdr:colOff>447675</xdr:colOff>
      <xdr:row>122</xdr:row>
      <xdr:rowOff>60310</xdr:rowOff>
    </xdr:to>
    <xdr:pic>
      <xdr:nvPicPr>
        <xdr:cNvPr id="3" name="Picture 3" descr="http://www.hauteroute.org/images/uploads/stage%203%20itinary.png"/>
        <xdr:cNvPicPr>
          <a:picLocks noChangeAspect="1" noChangeArrowheads="1"/>
        </xdr:cNvPicPr>
      </xdr:nvPicPr>
      <xdr:blipFill>
        <a:blip xmlns:r="http://schemas.openxmlformats.org/officeDocument/2006/relationships" r:embed="rId2" cstate="print"/>
        <a:srcRect/>
        <a:stretch>
          <a:fillRect/>
        </a:stretch>
      </xdr:blipFill>
      <xdr:spPr bwMode="auto">
        <a:xfrm>
          <a:off x="609600" y="11896725"/>
          <a:ext cx="5743575" cy="4060810"/>
        </a:xfrm>
        <a:prstGeom prst="rect">
          <a:avLst/>
        </a:prstGeom>
        <a:noFill/>
      </xdr:spPr>
    </xdr:pic>
    <xdr:clientData/>
  </xdr:twoCellAnchor>
  <xdr:twoCellAnchor editAs="oneCell">
    <xdr:from>
      <xdr:col>1</xdr:col>
      <xdr:colOff>66675</xdr:colOff>
      <xdr:row>133</xdr:row>
      <xdr:rowOff>0</xdr:rowOff>
    </xdr:from>
    <xdr:to>
      <xdr:col>13</xdr:col>
      <xdr:colOff>19050</xdr:colOff>
      <xdr:row>158</xdr:row>
      <xdr:rowOff>42385</xdr:rowOff>
    </xdr:to>
    <xdr:pic>
      <xdr:nvPicPr>
        <xdr:cNvPr id="4" name="Picture 4" descr="http://climbbybike.com/profile/Col-de-la-Madeleine-D97-D94_profile.jpg"/>
        <xdr:cNvPicPr>
          <a:picLocks noChangeAspect="1" noChangeArrowheads="1"/>
        </xdr:cNvPicPr>
      </xdr:nvPicPr>
      <xdr:blipFill>
        <a:blip xmlns:r="http://schemas.openxmlformats.org/officeDocument/2006/relationships" r:embed="rId3" cstate="print"/>
        <a:srcRect/>
        <a:stretch>
          <a:fillRect/>
        </a:stretch>
      </xdr:blipFill>
      <xdr:spPr bwMode="auto">
        <a:xfrm>
          <a:off x="676275" y="21993225"/>
          <a:ext cx="7439025" cy="3661885"/>
        </a:xfrm>
        <a:prstGeom prst="rect">
          <a:avLst/>
        </a:prstGeom>
        <a:noFill/>
      </xdr:spPr>
    </xdr:pic>
    <xdr:clientData/>
  </xdr:twoCellAnchor>
  <xdr:twoCellAnchor editAs="oneCell">
    <xdr:from>
      <xdr:col>1</xdr:col>
      <xdr:colOff>0</xdr:colOff>
      <xdr:row>158</xdr:row>
      <xdr:rowOff>0</xdr:rowOff>
    </xdr:from>
    <xdr:to>
      <xdr:col>12</xdr:col>
      <xdr:colOff>241300</xdr:colOff>
      <xdr:row>182</xdr:row>
      <xdr:rowOff>121920</xdr:rowOff>
    </xdr:to>
    <xdr:pic>
      <xdr:nvPicPr>
        <xdr:cNvPr id="5" name="Picture 5" descr="http://climbbybike.com/profile/Col-du-Télégraphe-St-Michel-de-Maurienne-profile.jpg"/>
        <xdr:cNvPicPr>
          <a:picLocks noChangeAspect="1" noChangeArrowheads="1"/>
        </xdr:cNvPicPr>
      </xdr:nvPicPr>
      <xdr:blipFill>
        <a:blip xmlns:r="http://schemas.openxmlformats.org/officeDocument/2006/relationships" r:embed="rId4" cstate="print"/>
        <a:srcRect/>
        <a:stretch>
          <a:fillRect/>
        </a:stretch>
      </xdr:blipFill>
      <xdr:spPr bwMode="auto">
        <a:xfrm>
          <a:off x="609600" y="25612725"/>
          <a:ext cx="7213600" cy="3550920"/>
        </a:xfrm>
        <a:prstGeom prst="rect">
          <a:avLst/>
        </a:prstGeom>
        <a:noFill/>
      </xdr:spPr>
    </xdr:pic>
    <xdr:clientData/>
  </xdr:twoCellAnchor>
  <xdr:twoCellAnchor editAs="oneCell">
    <xdr:from>
      <xdr:col>1</xdr:col>
      <xdr:colOff>104775</xdr:colOff>
      <xdr:row>183</xdr:row>
      <xdr:rowOff>0</xdr:rowOff>
    </xdr:from>
    <xdr:to>
      <xdr:col>12</xdr:col>
      <xdr:colOff>341706</xdr:colOff>
      <xdr:row>207</xdr:row>
      <xdr:rowOff>119767</xdr:rowOff>
    </xdr:to>
    <xdr:pic>
      <xdr:nvPicPr>
        <xdr:cNvPr id="6" name="Picture 6" descr="http://climbbybike.com/profile/Col-du-Galibier-Valloire-profile.jpg"/>
        <xdr:cNvPicPr>
          <a:picLocks noChangeAspect="1" noChangeArrowheads="1"/>
        </xdr:cNvPicPr>
      </xdr:nvPicPr>
      <xdr:blipFill>
        <a:blip xmlns:r="http://schemas.openxmlformats.org/officeDocument/2006/relationships" r:embed="rId5" cstate="print"/>
        <a:srcRect/>
        <a:stretch>
          <a:fillRect/>
        </a:stretch>
      </xdr:blipFill>
      <xdr:spPr bwMode="auto">
        <a:xfrm>
          <a:off x="714375" y="29184600"/>
          <a:ext cx="7209231" cy="3548767"/>
        </a:xfrm>
        <a:prstGeom prst="rect">
          <a:avLst/>
        </a:prstGeom>
        <a:noFill/>
      </xdr:spPr>
    </xdr:pic>
    <xdr:clientData/>
  </xdr:twoCellAnchor>
  <xdr:twoCellAnchor editAs="oneCell">
    <xdr:from>
      <xdr:col>18</xdr:col>
      <xdr:colOff>19049</xdr:colOff>
      <xdr:row>94</xdr:row>
      <xdr:rowOff>0</xdr:rowOff>
    </xdr:from>
    <xdr:to>
      <xdr:col>23</xdr:col>
      <xdr:colOff>193438</xdr:colOff>
      <xdr:row>111</xdr:row>
      <xdr:rowOff>0</xdr:rowOff>
    </xdr:to>
    <xdr:pic>
      <xdr:nvPicPr>
        <xdr:cNvPr id="7" name="Picture 2" descr="http://www.hauteroute.org/images/uploads/stage3.jpg"/>
        <xdr:cNvPicPr>
          <a:picLocks noChangeAspect="1" noChangeArrowheads="1"/>
        </xdr:cNvPicPr>
      </xdr:nvPicPr>
      <xdr:blipFill>
        <a:blip xmlns:r="http://schemas.openxmlformats.org/officeDocument/2006/relationships" r:embed="rId6" cstate="print"/>
        <a:srcRect/>
        <a:stretch>
          <a:fillRect/>
        </a:stretch>
      </xdr:blipFill>
      <xdr:spPr bwMode="auto">
        <a:xfrm>
          <a:off x="10820399" y="11896725"/>
          <a:ext cx="3222389" cy="24288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504825</xdr:colOff>
      <xdr:row>29</xdr:row>
      <xdr:rowOff>28576</xdr:rowOff>
    </xdr:from>
    <xdr:to>
      <xdr:col>19</xdr:col>
      <xdr:colOff>95250</xdr:colOff>
      <xdr:row>53</xdr:row>
      <xdr:rowOff>7443</xdr:rowOff>
    </xdr:to>
    <xdr:pic>
      <xdr:nvPicPr>
        <xdr:cNvPr id="2" name="Picture 1" descr="http://www.hauteroute.org/images/uploads/Profile_%20Etape%204_web.jpg"/>
        <xdr:cNvPicPr>
          <a:picLocks noChangeAspect="1" noChangeArrowheads="1"/>
        </xdr:cNvPicPr>
      </xdr:nvPicPr>
      <xdr:blipFill>
        <a:blip xmlns:r="http://schemas.openxmlformats.org/officeDocument/2006/relationships" r:embed="rId1" cstate="print"/>
        <a:srcRect/>
        <a:stretch>
          <a:fillRect/>
        </a:stretch>
      </xdr:blipFill>
      <xdr:spPr bwMode="auto">
        <a:xfrm>
          <a:off x="6410325" y="4000501"/>
          <a:ext cx="5095875" cy="3407867"/>
        </a:xfrm>
        <a:prstGeom prst="rect">
          <a:avLst/>
        </a:prstGeom>
        <a:noFill/>
      </xdr:spPr>
    </xdr:pic>
    <xdr:clientData/>
  </xdr:twoCellAnchor>
  <xdr:twoCellAnchor editAs="oneCell">
    <xdr:from>
      <xdr:col>19</xdr:col>
      <xdr:colOff>76072</xdr:colOff>
      <xdr:row>29</xdr:row>
      <xdr:rowOff>57150</xdr:rowOff>
    </xdr:from>
    <xdr:to>
      <xdr:col>26</xdr:col>
      <xdr:colOff>295274</xdr:colOff>
      <xdr:row>53</xdr:row>
      <xdr:rowOff>5715</xdr:rowOff>
    </xdr:to>
    <xdr:pic>
      <xdr:nvPicPr>
        <xdr:cNvPr id="3" name="Picture 2" descr="http://www.hauteroute.org/images/uploads/stage4.jpg"/>
        <xdr:cNvPicPr>
          <a:picLocks noChangeAspect="1" noChangeArrowheads="1"/>
        </xdr:cNvPicPr>
      </xdr:nvPicPr>
      <xdr:blipFill>
        <a:blip xmlns:r="http://schemas.openxmlformats.org/officeDocument/2006/relationships" r:embed="rId2" cstate="print"/>
        <a:srcRect/>
        <a:stretch>
          <a:fillRect/>
        </a:stretch>
      </xdr:blipFill>
      <xdr:spPr bwMode="auto">
        <a:xfrm>
          <a:off x="11487022" y="4029075"/>
          <a:ext cx="4495927" cy="3377565"/>
        </a:xfrm>
        <a:prstGeom prst="rect">
          <a:avLst/>
        </a:prstGeom>
        <a:noFill/>
      </xdr:spPr>
    </xdr:pic>
    <xdr:clientData/>
  </xdr:twoCellAnchor>
  <xdr:twoCellAnchor editAs="oneCell">
    <xdr:from>
      <xdr:col>0</xdr:col>
      <xdr:colOff>600075</xdr:colOff>
      <xdr:row>30</xdr:row>
      <xdr:rowOff>0</xdr:rowOff>
    </xdr:from>
    <xdr:to>
      <xdr:col>9</xdr:col>
      <xdr:colOff>142875</xdr:colOff>
      <xdr:row>50</xdr:row>
      <xdr:rowOff>4572</xdr:rowOff>
    </xdr:to>
    <xdr:pic>
      <xdr:nvPicPr>
        <xdr:cNvPr id="4" name="Picture 3" descr="http://www.hauteroute.org/images/uploads/stage%204%20itinary.png"/>
        <xdr:cNvPicPr>
          <a:picLocks noChangeAspect="1" noChangeArrowheads="1"/>
        </xdr:cNvPicPr>
      </xdr:nvPicPr>
      <xdr:blipFill>
        <a:blip xmlns:r="http://schemas.openxmlformats.org/officeDocument/2006/relationships" r:embed="rId3" cstate="print"/>
        <a:srcRect/>
        <a:stretch>
          <a:fillRect/>
        </a:stretch>
      </xdr:blipFill>
      <xdr:spPr bwMode="auto">
        <a:xfrm>
          <a:off x="600075" y="4114800"/>
          <a:ext cx="5962650" cy="2862072"/>
        </a:xfrm>
        <a:prstGeom prst="rect">
          <a:avLst/>
        </a:prstGeom>
        <a:noFill/>
      </xdr:spPr>
    </xdr:pic>
    <xdr:clientData/>
  </xdr:twoCellAnchor>
  <xdr:twoCellAnchor editAs="oneCell">
    <xdr:from>
      <xdr:col>1</xdr:col>
      <xdr:colOff>0</xdr:colOff>
      <xdr:row>68</xdr:row>
      <xdr:rowOff>9525</xdr:rowOff>
    </xdr:from>
    <xdr:to>
      <xdr:col>10</xdr:col>
      <xdr:colOff>28575</xdr:colOff>
      <xdr:row>94</xdr:row>
      <xdr:rowOff>58585</xdr:rowOff>
    </xdr:to>
    <xdr:pic>
      <xdr:nvPicPr>
        <xdr:cNvPr id="5" name="Picture 4" descr="http://climbbybike.com/profile/Col_de_Granon_Saint_Chaffrey,_inizio_salita_profile.gif"/>
        <xdr:cNvPicPr>
          <a:picLocks noChangeAspect="1" noChangeArrowheads="1"/>
        </xdr:cNvPicPr>
      </xdr:nvPicPr>
      <xdr:blipFill>
        <a:blip xmlns:r="http://schemas.openxmlformats.org/officeDocument/2006/relationships" r:embed="rId4" cstate="print"/>
        <a:srcRect/>
        <a:stretch>
          <a:fillRect/>
        </a:stretch>
      </xdr:blipFill>
      <xdr:spPr bwMode="auto">
        <a:xfrm>
          <a:off x="609600" y="12315825"/>
          <a:ext cx="6353175" cy="376381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limbbybike.com/climb.asp?Col=&amp;qryMountainID=6029" TargetMode="External"/><Relationship Id="rId1" Type="http://schemas.openxmlformats.org/officeDocument/2006/relationships/hyperlink" Target="http://www.climbbybike.com/climb.asp?Col=Col-de-la-Colombi&#232;re&amp;qryMountainID=6095"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climbbybike.com/climb.asp?Col=Col-des-Saisies&amp;qryMountainID=6545"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climbbybike.com/climb.asp?Col=Col-des-Saisies&amp;qryMountainID=6545"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climbbybike.com/climb.asp?Col=Col-des-Saisies&amp;qryMountainID=6545" TargetMode="External"/></Relationships>
</file>

<file path=xl/worksheets/sheet1.xml><?xml version="1.0" encoding="utf-8"?>
<worksheet xmlns="http://schemas.openxmlformats.org/spreadsheetml/2006/main" xmlns:r="http://schemas.openxmlformats.org/officeDocument/2006/relationships">
  <dimension ref="A2:AC169"/>
  <sheetViews>
    <sheetView showGridLines="0" tabSelected="1" topLeftCell="H141" zoomScaleNormal="100" workbookViewId="0">
      <selection activeCell="P166" sqref="P166"/>
    </sheetView>
  </sheetViews>
  <sheetFormatPr defaultRowHeight="11.25"/>
  <cols>
    <col min="1" max="1" width="9.140625" style="1"/>
    <col min="2" max="2" width="25.42578125" style="1" bestFit="1" customWidth="1"/>
    <col min="3" max="3" width="10.140625" style="1" customWidth="1"/>
    <col min="4" max="10" width="7.7109375" style="1" customWidth="1"/>
    <col min="11" max="11" width="8.42578125" style="1" customWidth="1"/>
    <col min="12" max="12" width="1.28515625" style="1" customWidth="1"/>
    <col min="13" max="13" width="7.7109375" style="1" customWidth="1"/>
    <col min="14" max="14" width="9.42578125" style="1" customWidth="1"/>
    <col min="15" max="16" width="7.7109375" style="1" customWidth="1"/>
    <col min="17" max="17" width="7.5703125" style="1" customWidth="1"/>
    <col min="18" max="18" width="8.140625" style="5" customWidth="1"/>
    <col min="19" max="20" width="9.140625" style="1"/>
    <col min="21" max="21" width="9.140625" style="5"/>
    <col min="22" max="24" width="9.140625" style="1"/>
    <col min="25" max="25" width="9.28515625" style="1" customWidth="1"/>
    <col min="26" max="16384" width="9.140625" style="1"/>
  </cols>
  <sheetData>
    <row r="2" spans="2:18">
      <c r="C2" s="2" t="s">
        <v>0</v>
      </c>
      <c r="D2" s="3"/>
      <c r="F2" s="4" t="s">
        <v>1</v>
      </c>
    </row>
    <row r="3" spans="2:18">
      <c r="B3" s="6" t="s">
        <v>2</v>
      </c>
      <c r="C3" s="7" t="s">
        <v>3</v>
      </c>
      <c r="D3" s="8"/>
      <c r="F3" s="9" t="s">
        <v>4</v>
      </c>
    </row>
    <row r="4" spans="2:18">
      <c r="B4" s="10" t="s">
        <v>5</v>
      </c>
      <c r="C4" s="11" t="s">
        <v>6</v>
      </c>
      <c r="D4" s="12"/>
      <c r="F4" s="13"/>
      <c r="G4" s="14"/>
      <c r="H4" s="14"/>
    </row>
    <row r="5" spans="2:18">
      <c r="B5" s="15" t="s">
        <v>7</v>
      </c>
      <c r="C5" s="16">
        <v>109.5</v>
      </c>
      <c r="D5" s="17"/>
      <c r="F5" s="4" t="s">
        <v>8</v>
      </c>
    </row>
    <row r="6" spans="2:18">
      <c r="B6" s="10" t="s">
        <v>9</v>
      </c>
      <c r="C6" s="11" t="s">
        <v>10</v>
      </c>
      <c r="D6" s="12"/>
      <c r="F6" s="9" t="s">
        <v>11</v>
      </c>
    </row>
    <row r="7" spans="2:18">
      <c r="B7" s="6" t="s">
        <v>12</v>
      </c>
      <c r="C7" s="7" t="s">
        <v>13</v>
      </c>
      <c r="D7" s="8"/>
    </row>
    <row r="8" spans="2:18">
      <c r="B8" s="15" t="s">
        <v>14</v>
      </c>
      <c r="C8" s="16" t="s">
        <v>15</v>
      </c>
      <c r="D8" s="17"/>
    </row>
    <row r="9" spans="2:18">
      <c r="B9" s="10" t="s">
        <v>16</v>
      </c>
      <c r="C9" s="18" t="s">
        <v>17</v>
      </c>
      <c r="D9" s="12"/>
    </row>
    <row r="10" spans="2:18">
      <c r="B10" s="6" t="s">
        <v>18</v>
      </c>
      <c r="C10" s="19">
        <f>+(1100-385)/109500</f>
        <v>6.5296803652968036E-3</v>
      </c>
      <c r="D10" s="8"/>
      <c r="E10" s="13"/>
      <c r="H10" s="20" t="s">
        <v>19</v>
      </c>
      <c r="I10" s="20" t="s">
        <v>20</v>
      </c>
      <c r="J10" s="20" t="s">
        <v>21</v>
      </c>
      <c r="K10" s="20" t="s">
        <v>22</v>
      </c>
      <c r="L10" s="20"/>
      <c r="O10" s="20" t="s">
        <v>19</v>
      </c>
      <c r="P10" s="20" t="s">
        <v>20</v>
      </c>
      <c r="Q10" s="20" t="s">
        <v>21</v>
      </c>
      <c r="R10" s="20" t="s">
        <v>22</v>
      </c>
    </row>
    <row r="11" spans="2:18">
      <c r="B11" s="10" t="s">
        <v>23</v>
      </c>
      <c r="C11" s="21">
        <f>+SUMPRODUCT(G19:G97,I19:I97)/SUM(G19:G97)</f>
        <v>3.0045662100456651E-3</v>
      </c>
      <c r="D11" s="12"/>
      <c r="F11" s="22" t="s">
        <v>24</v>
      </c>
      <c r="G11" s="23"/>
      <c r="H11" s="24">
        <f>+SUMIFS(G19:G97,I19:I97,"&gt;=0,0%",I19:I97,"&lt;2,0%")</f>
        <v>38.5</v>
      </c>
      <c r="I11" s="25">
        <f>+H11/109.5</f>
        <v>0.35159817351598172</v>
      </c>
      <c r="J11" s="26">
        <f>+SUMIFS(J19:J97,I19:I97,"&gt;=0,0%",I19:I97,"&lt;2,0%")</f>
        <v>4.9959150326797382E-2</v>
      </c>
      <c r="K11" s="27">
        <f>+J11/$M$95</f>
        <v>0.32381934790868688</v>
      </c>
      <c r="L11" s="28"/>
      <c r="M11" s="22" t="s">
        <v>25</v>
      </c>
      <c r="N11" s="23"/>
      <c r="O11" s="24">
        <f>+SUMIFS(G19:G97,I19:I97,"&lt;=0,0%",I19:I97,"&gt;-2,0%")</f>
        <v>16.5</v>
      </c>
      <c r="P11" s="25">
        <f>+O11/$C$5</f>
        <v>0.15068493150684931</v>
      </c>
      <c r="Q11" s="26">
        <f>+SUMIFS(J19:J97,I19:I97,"&lt;=0,0%",I19:I97,"&gt;-2,0%")</f>
        <v>1.9415266106442577E-2</v>
      </c>
      <c r="R11" s="27">
        <f>+Q11/$M$95</f>
        <v>0.12584358959142639</v>
      </c>
    </row>
    <row r="12" spans="2:18">
      <c r="B12" s="15" t="s">
        <v>26</v>
      </c>
      <c r="C12" s="29">
        <f>+SUMIF(T19:T97,"&gt;0",T19:T97)/(SUMIF(I19:I96,"&gt;0",G19:G97))</f>
        <v>3.0318840579710148E-2</v>
      </c>
      <c r="D12" s="17"/>
      <c r="F12" s="30" t="s">
        <v>27</v>
      </c>
      <c r="G12" s="31"/>
      <c r="H12" s="32">
        <f>+SUMIFS(G19:G97,I19:I97,"&gt;=2,0%",I19:I97,"&lt;3,0%")</f>
        <v>3</v>
      </c>
      <c r="I12" s="28">
        <f t="shared" ref="I12:I15" si="0">+H12/109.5</f>
        <v>2.7397260273972601E-2</v>
      </c>
      <c r="J12" s="33">
        <f>+SUMIFS(J19:J97,I19:I97,"&gt;=2,0%",I19:I97,"&lt;3,0%")</f>
        <v>4.3103448275862068E-3</v>
      </c>
      <c r="K12" s="34">
        <f t="shared" ref="K12:K15" si="1">+J12/$M$95</f>
        <v>2.7938286424016183E-2</v>
      </c>
      <c r="L12" s="28"/>
      <c r="M12" s="30" t="s">
        <v>28</v>
      </c>
      <c r="N12" s="31"/>
      <c r="O12" s="32">
        <f>+SUMIFS(G19:G97,I19:I97,"&lt;=-2,0%",I19:I97,"&gt;-3,0%")</f>
        <v>6</v>
      </c>
      <c r="P12" s="28">
        <f t="shared" ref="P12:P15" si="2">+O12/$C$5</f>
        <v>5.4794520547945202E-2</v>
      </c>
      <c r="Q12" s="33">
        <f>+SUMIFS(J19:J97,I19:I97,"&lt;=-2,0%",I19:I97,"&gt;-3,0%")</f>
        <v>6.4102564102564109E-3</v>
      </c>
      <c r="R12" s="34">
        <f t="shared" ref="R12:R15" si="3">+Q12/$M$95</f>
        <v>4.1549246476742019E-2</v>
      </c>
    </row>
    <row r="13" spans="2:18">
      <c r="B13" s="10" t="s">
        <v>29</v>
      </c>
      <c r="C13" s="35">
        <f>+SUMIF(I19:I96,"&gt;0",G19:G97)</f>
        <v>69</v>
      </c>
      <c r="D13" s="12"/>
      <c r="F13" s="36" t="s">
        <v>30</v>
      </c>
      <c r="G13" s="37"/>
      <c r="H13" s="38">
        <f>+SUMIFS(G19:G97,I19:I97,"&gt;=3,0%",I19:I97,"&lt;5,0%")</f>
        <v>2.5</v>
      </c>
      <c r="I13" s="39">
        <f t="shared" si="0"/>
        <v>2.2831050228310501E-2</v>
      </c>
      <c r="J13" s="40">
        <f>+SUMIFS(J19:J97,I19:I97,"&gt;=3,0%",I19:I97,"&lt;5,0%")</f>
        <v>3.8580246913580245E-3</v>
      </c>
      <c r="K13" s="41">
        <f t="shared" si="1"/>
        <v>2.500649093507621E-2</v>
      </c>
      <c r="L13" s="28"/>
      <c r="M13" s="42" t="s">
        <v>31</v>
      </c>
      <c r="N13" s="43"/>
      <c r="O13" s="44">
        <f>+SUMIFS(G19:G97,I19:I97,"&lt;=-3,0%",I19:I97,"&gt;-5,0%")</f>
        <v>0</v>
      </c>
      <c r="P13" s="45">
        <f t="shared" si="2"/>
        <v>0</v>
      </c>
      <c r="Q13" s="46">
        <f>+SUMIFS(J19:J97,I19:I97,"&lt;=-3,0%",I19:I97,"&gt;-5,0%")</f>
        <v>0</v>
      </c>
      <c r="R13" s="47">
        <f t="shared" si="3"/>
        <v>0</v>
      </c>
    </row>
    <row r="14" spans="2:18">
      <c r="B14" s="15" t="s">
        <v>32</v>
      </c>
      <c r="C14" s="29">
        <f>+SUMIF(T19:T97,"&lt;0",T19:T97)/(SUMIF(I19:I96,"&lt;0",G19:G97))</f>
        <v>-4.3530864197530862E-2</v>
      </c>
      <c r="D14" s="17"/>
      <c r="F14" s="48" t="s">
        <v>33</v>
      </c>
      <c r="G14" s="49"/>
      <c r="H14" s="50">
        <f>+SUMIFS(G19:G97,I19:I97,"&gt;=5%",I19:I97,"&lt;7%")</f>
        <v>17</v>
      </c>
      <c r="I14" s="51">
        <f t="shared" si="0"/>
        <v>0.15525114155251141</v>
      </c>
      <c r="J14" s="52">
        <f>+SUMIFS(J19:J97,I19:I97,"&gt;=5%",I19:I97,"&lt;7%")</f>
        <v>3.3862221713063731E-2</v>
      </c>
      <c r="K14" s="53">
        <f t="shared" si="1"/>
        <v>0.21948416820816255</v>
      </c>
      <c r="L14" s="28"/>
      <c r="M14" s="54" t="s">
        <v>34</v>
      </c>
      <c r="N14" s="55"/>
      <c r="O14" s="56">
        <f>+SUMIFS(G19:G97,I19:I97,"&lt;=-5%",I19:I97,"&gt;-7%")</f>
        <v>5</v>
      </c>
      <c r="P14" s="57">
        <f t="shared" si="2"/>
        <v>4.5662100456621002E-2</v>
      </c>
      <c r="Q14" s="58">
        <f>+SUMIFS(J19:J97,I19:I97,"&lt;=-5%",I19:I97,"&gt;-7%")</f>
        <v>4.4326241134751776E-3</v>
      </c>
      <c r="R14" s="59">
        <f t="shared" si="3"/>
        <v>2.8730861925406713E-2</v>
      </c>
    </row>
    <row r="15" spans="2:18">
      <c r="B15" s="10" t="s">
        <v>35</v>
      </c>
      <c r="C15" s="35">
        <f>+SUMIF(I19:I96,"&lt;0",G19:G97)</f>
        <v>40.5</v>
      </c>
      <c r="D15" s="12"/>
      <c r="F15" s="60" t="s">
        <v>36</v>
      </c>
      <c r="G15" s="61"/>
      <c r="H15" s="62">
        <f>+SUMIFS(G19:G97,I19:I97,"&gt;=7%")</f>
        <v>8</v>
      </c>
      <c r="I15" s="63">
        <f t="shared" si="0"/>
        <v>7.3059360730593603E-2</v>
      </c>
      <c r="J15" s="64">
        <f>+SUMIFS(J19:J97,I19:I97,"&gt;=7%")</f>
        <v>2.178649237472767E-2</v>
      </c>
      <c r="K15" s="65">
        <f t="shared" si="1"/>
        <v>0.1412131252804304</v>
      </c>
      <c r="L15" s="66"/>
      <c r="M15" s="67" t="s">
        <v>37</v>
      </c>
      <c r="N15" s="68"/>
      <c r="O15" s="69">
        <f>+SUMIFS(G19:G97,I19:I97,"&lt;=-7%")</f>
        <v>13</v>
      </c>
      <c r="P15" s="70">
        <f t="shared" si="2"/>
        <v>0.11872146118721461</v>
      </c>
      <c r="Q15" s="71">
        <f>+SUMIFS(J19:J97,I19:I97,"&lt;=-7%")</f>
        <v>1.0246549990464798E-2</v>
      </c>
      <c r="R15" s="72">
        <f t="shared" si="3"/>
        <v>6.6414883250052542E-2</v>
      </c>
    </row>
    <row r="16" spans="2:18">
      <c r="H16" s="73">
        <f>+SUM(H11:H15)</f>
        <v>69</v>
      </c>
      <c r="I16" s="74">
        <f>+SUM(I11:I15)</f>
        <v>0.63013698630136983</v>
      </c>
      <c r="J16" s="75">
        <f>+SUM(J11:J15)</f>
        <v>0.11377623393353302</v>
      </c>
      <c r="K16" s="74">
        <f>+SUM(K11:K15)</f>
        <v>0.73746141875637228</v>
      </c>
      <c r="L16" s="76"/>
      <c r="O16" s="73">
        <f>+SUM(O11:O15)</f>
        <v>40.5</v>
      </c>
      <c r="P16" s="74">
        <f>+SUM(P11:P15)</f>
        <v>0.36986301369863012</v>
      </c>
      <c r="Q16" s="75">
        <f>+SUM(Q11:Q15)</f>
        <v>4.0504696620638964E-2</v>
      </c>
      <c r="R16" s="74">
        <f>+SUM(R11:R15)</f>
        <v>0.26253858124362767</v>
      </c>
    </row>
    <row r="17" spans="2:26">
      <c r="C17" s="77"/>
    </row>
    <row r="18" spans="2:26">
      <c r="B18" s="78" t="s">
        <v>38</v>
      </c>
      <c r="C18" s="78" t="s">
        <v>39</v>
      </c>
      <c r="D18" s="78" t="s">
        <v>40</v>
      </c>
      <c r="E18" s="78" t="s">
        <v>41</v>
      </c>
      <c r="F18" s="78" t="s">
        <v>42</v>
      </c>
      <c r="G18" s="79" t="s">
        <v>43</v>
      </c>
      <c r="H18" s="79" t="s">
        <v>44</v>
      </c>
      <c r="I18" s="80" t="s">
        <v>45</v>
      </c>
      <c r="J18" s="81" t="s">
        <v>46</v>
      </c>
      <c r="K18" s="82" t="s">
        <v>47</v>
      </c>
      <c r="L18" s="82"/>
      <c r="M18" s="82" t="s">
        <v>48</v>
      </c>
      <c r="N18" s="83" t="s">
        <v>22</v>
      </c>
      <c r="O18" s="81" t="s">
        <v>49</v>
      </c>
      <c r="P18" s="82" t="s">
        <v>50</v>
      </c>
      <c r="Q18" s="82" t="s">
        <v>51</v>
      </c>
      <c r="R18" s="83" t="s">
        <v>22</v>
      </c>
      <c r="T18" s="5"/>
    </row>
    <row r="19" spans="2:26">
      <c r="B19" s="84" t="s">
        <v>52</v>
      </c>
      <c r="C19" s="85">
        <v>0</v>
      </c>
      <c r="D19" s="85">
        <v>15.5</v>
      </c>
      <c r="E19" s="86">
        <v>385</v>
      </c>
      <c r="F19" s="86">
        <v>450</v>
      </c>
      <c r="G19" s="85">
        <f>+D19-C19</f>
        <v>15.5</v>
      </c>
      <c r="H19" s="85">
        <f>+F19-E19</f>
        <v>65</v>
      </c>
      <c r="I19" s="87">
        <f>+H19/(G19*1000)</f>
        <v>4.193548387096774E-3</v>
      </c>
      <c r="J19" s="88">
        <f>+($D19-$C19)/K19/24</f>
        <v>1.8995098039215685E-2</v>
      </c>
      <c r="K19" s="89">
        <v>34</v>
      </c>
      <c r="L19" s="89"/>
      <c r="M19" s="88">
        <f>+J19</f>
        <v>1.8995098039215685E-2</v>
      </c>
      <c r="N19" s="90">
        <f>+J19/$M$95</f>
        <v>0.12312019360387523</v>
      </c>
      <c r="O19" s="88">
        <f>+($D19-$C19)/P19/24</f>
        <v>2.2270114942528733E-2</v>
      </c>
      <c r="P19" s="89">
        <f>+K19-5</f>
        <v>29</v>
      </c>
      <c r="Q19" s="88">
        <f>+O19</f>
        <v>2.2270114942528733E-2</v>
      </c>
      <c r="R19" s="91">
        <f>+O19/$Q$95</f>
        <v>0.11581758391949323</v>
      </c>
      <c r="T19" s="5">
        <f>+I19*G19</f>
        <v>6.5000000000000002E-2</v>
      </c>
      <c r="U19" s="92">
        <f>+G19</f>
        <v>15.5</v>
      </c>
    </row>
    <row r="20" spans="2:26">
      <c r="B20" s="30" t="s">
        <v>53</v>
      </c>
      <c r="C20" s="93" t="s">
        <v>54</v>
      </c>
      <c r="D20" s="94"/>
      <c r="E20" s="31"/>
      <c r="F20" s="31"/>
      <c r="G20" s="31"/>
      <c r="H20" s="31"/>
      <c r="I20" s="31"/>
      <c r="J20" s="31"/>
      <c r="K20" s="95"/>
      <c r="L20" s="95"/>
      <c r="M20" s="31"/>
      <c r="N20" s="96"/>
      <c r="O20" s="31"/>
      <c r="P20" s="31"/>
      <c r="Q20" s="31"/>
      <c r="R20" s="97"/>
      <c r="T20" s="5"/>
    </row>
    <row r="21" spans="2:26">
      <c r="B21" s="98"/>
      <c r="C21" s="99" t="s">
        <v>55</v>
      </c>
      <c r="D21" s="100"/>
      <c r="E21" s="101"/>
      <c r="F21" s="101"/>
      <c r="G21" s="101"/>
      <c r="H21" s="101"/>
      <c r="I21" s="101"/>
      <c r="J21" s="101"/>
      <c r="K21" s="102"/>
      <c r="L21" s="102"/>
      <c r="M21" s="101"/>
      <c r="N21" s="103"/>
      <c r="O21" s="101"/>
      <c r="P21" s="101"/>
      <c r="Q21" s="101"/>
      <c r="R21" s="104"/>
      <c r="T21" s="5"/>
    </row>
    <row r="22" spans="2:26" s="106" customFormat="1" ht="4.5" customHeight="1">
      <c r="B22" s="105"/>
      <c r="C22" s="93"/>
      <c r="D22" s="94"/>
      <c r="E22" s="31"/>
      <c r="F22" s="31"/>
      <c r="G22" s="31"/>
      <c r="H22" s="31"/>
      <c r="I22" s="31"/>
      <c r="J22" s="31"/>
      <c r="K22" s="95"/>
      <c r="L22" s="95"/>
      <c r="M22" s="31"/>
      <c r="N22" s="96"/>
      <c r="O22" s="31"/>
      <c r="P22" s="31"/>
      <c r="Q22" s="31"/>
      <c r="R22" s="96"/>
      <c r="T22" s="107"/>
      <c r="U22" s="107"/>
      <c r="V22" s="1"/>
      <c r="W22" s="108"/>
      <c r="X22" s="1"/>
      <c r="Y22" s="1"/>
      <c r="Z22" s="109"/>
    </row>
    <row r="23" spans="2:26">
      <c r="B23" s="110" t="s">
        <v>56</v>
      </c>
      <c r="C23" s="111">
        <f>+D19</f>
        <v>15.5</v>
      </c>
      <c r="D23" s="111">
        <v>18</v>
      </c>
      <c r="E23" s="112">
        <f>+F19</f>
        <v>450</v>
      </c>
      <c r="F23" s="112">
        <v>533</v>
      </c>
      <c r="G23" s="111">
        <f>+D23-C23</f>
        <v>2.5</v>
      </c>
      <c r="H23" s="111">
        <f>+F23-E23</f>
        <v>83</v>
      </c>
      <c r="I23" s="113">
        <f>+H23/(G23*1000)</f>
        <v>3.32E-2</v>
      </c>
      <c r="J23" s="114">
        <f>+($D23-$C23)/K23/24</f>
        <v>3.8580246913580245E-3</v>
      </c>
      <c r="K23" s="115">
        <v>27</v>
      </c>
      <c r="L23" s="115"/>
      <c r="M23" s="114">
        <f>+M19+J23</f>
        <v>2.2853122730573709E-2</v>
      </c>
      <c r="N23" s="116">
        <f>+J23/$M$95</f>
        <v>2.500649093507621E-2</v>
      </c>
      <c r="O23" s="114">
        <f>+($D23-$C23)/P23/24</f>
        <v>4.734848484848485E-3</v>
      </c>
      <c r="P23" s="117">
        <f>+K23-5</f>
        <v>22</v>
      </c>
      <c r="Q23" s="114">
        <f>+Q19+O23</f>
        <v>2.7004963427377217E-2</v>
      </c>
      <c r="R23" s="118">
        <f>+O23/$Q$95</f>
        <v>2.4623973120713374E-2</v>
      </c>
      <c r="T23" s="5">
        <f>+I23*G23</f>
        <v>8.3000000000000004E-2</v>
      </c>
      <c r="U23" s="92">
        <f>+U19+G23</f>
        <v>18</v>
      </c>
    </row>
    <row r="24" spans="2:26">
      <c r="B24" s="36" t="s">
        <v>57</v>
      </c>
      <c r="C24" s="119" t="s">
        <v>58</v>
      </c>
      <c r="D24" s="120"/>
      <c r="E24" s="37"/>
      <c r="F24" s="37"/>
      <c r="G24" s="37"/>
      <c r="H24" s="37"/>
      <c r="I24" s="37"/>
      <c r="J24" s="37"/>
      <c r="K24" s="121"/>
      <c r="L24" s="121"/>
      <c r="M24" s="37"/>
      <c r="N24" s="122"/>
      <c r="O24" s="37"/>
      <c r="P24" s="37"/>
      <c r="Q24" s="37"/>
      <c r="R24" s="123"/>
      <c r="T24" s="5"/>
      <c r="V24" s="124" t="s">
        <v>59</v>
      </c>
      <c r="W24" s="125"/>
      <c r="Y24" s="124" t="s">
        <v>60</v>
      </c>
      <c r="Z24" s="125"/>
    </row>
    <row r="25" spans="2:26">
      <c r="B25" s="126"/>
      <c r="C25" s="127" t="s">
        <v>61</v>
      </c>
      <c r="D25" s="128"/>
      <c r="E25" s="129"/>
      <c r="F25" s="129"/>
      <c r="G25" s="129"/>
      <c r="H25" s="129"/>
      <c r="I25" s="129"/>
      <c r="J25" s="129"/>
      <c r="K25" s="130"/>
      <c r="L25" s="130"/>
      <c r="M25" s="129"/>
      <c r="N25" s="131"/>
      <c r="O25" s="129"/>
      <c r="P25" s="129"/>
      <c r="Q25" s="129"/>
      <c r="R25" s="132"/>
      <c r="T25" s="5"/>
      <c r="V25" s="1" t="s">
        <v>62</v>
      </c>
      <c r="W25" s="108">
        <v>34</v>
      </c>
      <c r="Y25" s="1" t="s">
        <v>62</v>
      </c>
      <c r="Z25" s="108">
        <v>34</v>
      </c>
    </row>
    <row r="26" spans="2:26" s="106" customFormat="1" ht="4.5" customHeight="1">
      <c r="B26" s="105"/>
      <c r="C26" s="93"/>
      <c r="D26" s="94"/>
      <c r="E26" s="31"/>
      <c r="F26" s="31"/>
      <c r="G26" s="31"/>
      <c r="H26" s="31"/>
      <c r="I26" s="31"/>
      <c r="J26" s="31"/>
      <c r="K26" s="95"/>
      <c r="L26" s="95"/>
      <c r="M26" s="31"/>
      <c r="N26" s="96"/>
      <c r="O26" s="31"/>
      <c r="P26" s="31"/>
      <c r="Q26" s="31"/>
      <c r="R26" s="96"/>
      <c r="T26" s="107"/>
      <c r="U26" s="107"/>
      <c r="W26" s="133"/>
      <c r="Z26" s="133"/>
    </row>
    <row r="27" spans="2:26">
      <c r="B27" s="84" t="s">
        <v>63</v>
      </c>
      <c r="C27" s="85">
        <f>+D23</f>
        <v>18</v>
      </c>
      <c r="D27" s="85">
        <v>23.5</v>
      </c>
      <c r="E27" s="86">
        <f>+F23</f>
        <v>533</v>
      </c>
      <c r="F27" s="86">
        <v>490</v>
      </c>
      <c r="G27" s="85">
        <f>+D27-C27</f>
        <v>5.5</v>
      </c>
      <c r="H27" s="85">
        <f>+F27-E27</f>
        <v>-43</v>
      </c>
      <c r="I27" s="87">
        <f>+H27/(G27*1000)</f>
        <v>-7.8181818181818179E-3</v>
      </c>
      <c r="J27" s="88">
        <f>+($D27-$C27)/K27/24</f>
        <v>6.5476190476190478E-3</v>
      </c>
      <c r="K27" s="89">
        <v>35</v>
      </c>
      <c r="L27" s="89"/>
      <c r="M27" s="88">
        <f>+M23+J27</f>
        <v>2.9400741778192758E-2</v>
      </c>
      <c r="N27" s="90">
        <f>+J27/$M$95</f>
        <v>4.2439587472672201E-2</v>
      </c>
      <c r="O27" s="88">
        <f>+($D27-$C27)/P27/24</f>
        <v>7.6388888888888886E-3</v>
      </c>
      <c r="P27" s="134">
        <f>+K27-5</f>
        <v>30</v>
      </c>
      <c r="Q27" s="88">
        <f>+Q23+O27</f>
        <v>3.4643852316266106E-2</v>
      </c>
      <c r="R27" s="91">
        <f>+O27/$Q$95</f>
        <v>3.9726676634750907E-2</v>
      </c>
      <c r="T27" s="5">
        <f>+I27*G27</f>
        <v>-4.2999999999999997E-2</v>
      </c>
      <c r="U27" s="92">
        <f>+U23+G27</f>
        <v>23.5</v>
      </c>
      <c r="V27" s="1" t="s">
        <v>64</v>
      </c>
      <c r="W27" s="108">
        <f>+W25-1.25</f>
        <v>32.75</v>
      </c>
      <c r="Y27" s="1" t="s">
        <v>64</v>
      </c>
      <c r="Z27" s="108">
        <f>+Z25+1</f>
        <v>35</v>
      </c>
    </row>
    <row r="28" spans="2:26">
      <c r="B28" s="30" t="s">
        <v>65</v>
      </c>
      <c r="C28" s="93" t="s">
        <v>66</v>
      </c>
      <c r="D28" s="94"/>
      <c r="E28" s="31"/>
      <c r="F28" s="31"/>
      <c r="G28" s="31"/>
      <c r="H28" s="31"/>
      <c r="I28" s="31"/>
      <c r="J28" s="31"/>
      <c r="K28" s="95"/>
      <c r="L28" s="95"/>
      <c r="M28" s="31"/>
      <c r="N28" s="96"/>
      <c r="O28" s="31"/>
      <c r="P28" s="31"/>
      <c r="Q28" s="31"/>
      <c r="R28" s="97"/>
      <c r="T28" s="5"/>
      <c r="V28" s="1" t="s">
        <v>67</v>
      </c>
      <c r="W28" s="108">
        <f>+W27-1.25</f>
        <v>31.5</v>
      </c>
      <c r="Y28" s="1" t="s">
        <v>67</v>
      </c>
      <c r="Z28" s="108">
        <f>+Z27+1</f>
        <v>36</v>
      </c>
    </row>
    <row r="29" spans="2:26">
      <c r="B29" s="98"/>
      <c r="C29" s="99" t="s">
        <v>68</v>
      </c>
      <c r="D29" s="100"/>
      <c r="E29" s="101"/>
      <c r="F29" s="101"/>
      <c r="G29" s="101"/>
      <c r="H29" s="101"/>
      <c r="I29" s="101"/>
      <c r="J29" s="101"/>
      <c r="K29" s="102"/>
      <c r="L29" s="102"/>
      <c r="M29" s="101"/>
      <c r="N29" s="103"/>
      <c r="O29" s="101"/>
      <c r="P29" s="101"/>
      <c r="Q29" s="101"/>
      <c r="R29" s="104"/>
      <c r="T29" s="5"/>
      <c r="V29" s="1" t="s">
        <v>69</v>
      </c>
      <c r="W29" s="108">
        <f>+W28-1.25</f>
        <v>30.25</v>
      </c>
      <c r="Y29" s="1" t="s">
        <v>69</v>
      </c>
      <c r="Z29" s="108">
        <f>+Z28+1</f>
        <v>37</v>
      </c>
    </row>
    <row r="30" spans="2:26" s="106" customFormat="1" ht="4.5" customHeight="1">
      <c r="B30" s="105"/>
      <c r="C30" s="93"/>
      <c r="D30" s="94"/>
      <c r="E30" s="31"/>
      <c r="F30" s="31"/>
      <c r="G30" s="31"/>
      <c r="H30" s="31"/>
      <c r="I30" s="31"/>
      <c r="J30" s="31"/>
      <c r="K30" s="95"/>
      <c r="L30" s="95"/>
      <c r="M30" s="31"/>
      <c r="N30" s="96"/>
      <c r="O30" s="31"/>
      <c r="P30" s="31"/>
      <c r="Q30" s="31"/>
      <c r="R30" s="96"/>
      <c r="T30" s="107"/>
      <c r="U30" s="107"/>
      <c r="W30" s="133"/>
      <c r="Z30" s="133"/>
    </row>
    <row r="31" spans="2:26">
      <c r="B31" s="84" t="s">
        <v>70</v>
      </c>
      <c r="C31" s="85">
        <f>+D27</f>
        <v>23.5</v>
      </c>
      <c r="D31" s="85">
        <v>31</v>
      </c>
      <c r="E31" s="86">
        <f>+F27</f>
        <v>490</v>
      </c>
      <c r="F31" s="86">
        <v>610</v>
      </c>
      <c r="G31" s="85">
        <f>+D31-C31</f>
        <v>7.5</v>
      </c>
      <c r="H31" s="85">
        <f>+F31-E31</f>
        <v>120</v>
      </c>
      <c r="I31" s="87">
        <f>+H31/(G31*1000)</f>
        <v>1.6E-2</v>
      </c>
      <c r="J31" s="88">
        <f>+($D31-$C31)/K31/24</f>
        <v>1.0416666666666666E-2</v>
      </c>
      <c r="K31" s="89">
        <v>30</v>
      </c>
      <c r="L31" s="89"/>
      <c r="M31" s="88">
        <f>+M27+J31</f>
        <v>3.9817408444859426E-2</v>
      </c>
      <c r="N31" s="90">
        <f>+J31/$M$95</f>
        <v>6.7517525524705774E-2</v>
      </c>
      <c r="O31" s="88">
        <f>+($D31-$C31)/P31/24</f>
        <v>1.2499999999999999E-2</v>
      </c>
      <c r="P31" s="134">
        <f>+K31-5</f>
        <v>25</v>
      </c>
      <c r="Q31" s="88">
        <f>+Q27+O31</f>
        <v>4.7143852316266104E-2</v>
      </c>
      <c r="R31" s="91">
        <f>+O31/$Q$95</f>
        <v>6.5007289038683302E-2</v>
      </c>
      <c r="T31" s="5">
        <f>+I31*G31</f>
        <v>0.12</v>
      </c>
      <c r="U31" s="92">
        <f>+U27+G31</f>
        <v>31</v>
      </c>
      <c r="V31" s="1" t="s">
        <v>71</v>
      </c>
      <c r="W31" s="108">
        <f>+W29-1.25</f>
        <v>29</v>
      </c>
      <c r="Y31" s="1" t="s">
        <v>71</v>
      </c>
      <c r="Z31" s="108">
        <f>+Z29+1</f>
        <v>38</v>
      </c>
    </row>
    <row r="32" spans="2:26">
      <c r="B32" s="30" t="s">
        <v>72</v>
      </c>
      <c r="C32" s="93" t="s">
        <v>73</v>
      </c>
      <c r="D32" s="94"/>
      <c r="E32" s="31"/>
      <c r="F32" s="31"/>
      <c r="G32" s="31"/>
      <c r="H32" s="31"/>
      <c r="I32" s="31"/>
      <c r="J32" s="31"/>
      <c r="K32" s="95"/>
      <c r="L32" s="95"/>
      <c r="M32" s="31"/>
      <c r="N32" s="96"/>
      <c r="O32" s="31"/>
      <c r="P32" s="31"/>
      <c r="Q32" s="31"/>
      <c r="R32" s="97"/>
      <c r="T32" s="5"/>
      <c r="V32" s="1" t="s">
        <v>74</v>
      </c>
      <c r="W32" s="108">
        <f>+W31-1.25</f>
        <v>27.75</v>
      </c>
      <c r="Y32" s="1" t="s">
        <v>74</v>
      </c>
      <c r="Z32" s="108">
        <f>+Z31+1</f>
        <v>39</v>
      </c>
    </row>
    <row r="33" spans="2:26">
      <c r="B33" s="135" t="s">
        <v>75</v>
      </c>
      <c r="C33" s="99" t="s">
        <v>76</v>
      </c>
      <c r="D33" s="100"/>
      <c r="E33" s="101"/>
      <c r="F33" s="101"/>
      <c r="G33" s="101"/>
      <c r="H33" s="101"/>
      <c r="I33" s="101"/>
      <c r="J33" s="101"/>
      <c r="K33" s="102"/>
      <c r="L33" s="102"/>
      <c r="M33" s="101"/>
      <c r="N33" s="103"/>
      <c r="O33" s="101"/>
      <c r="P33" s="101"/>
      <c r="Q33" s="101"/>
      <c r="R33" s="104"/>
      <c r="T33" s="5"/>
      <c r="V33" s="1" t="s">
        <v>77</v>
      </c>
      <c r="W33" s="108">
        <f>+W32-1.25</f>
        <v>26.5</v>
      </c>
      <c r="Y33" s="1" t="s">
        <v>77</v>
      </c>
      <c r="Z33" s="108">
        <f>+Z32+1</f>
        <v>40</v>
      </c>
    </row>
    <row r="34" spans="2:26" s="106" customFormat="1" ht="4.5" customHeight="1">
      <c r="B34" s="105"/>
      <c r="C34" s="93"/>
      <c r="D34" s="94"/>
      <c r="E34" s="31"/>
      <c r="F34" s="31"/>
      <c r="G34" s="31"/>
      <c r="H34" s="31"/>
      <c r="I34" s="31"/>
      <c r="J34" s="31"/>
      <c r="K34" s="95"/>
      <c r="L34" s="95"/>
      <c r="M34" s="31"/>
      <c r="N34" s="96"/>
      <c r="O34" s="31"/>
      <c r="P34" s="31"/>
      <c r="Q34" s="31"/>
      <c r="R34" s="96"/>
      <c r="T34" s="107"/>
      <c r="U34" s="107"/>
      <c r="W34" s="133"/>
      <c r="Z34" s="133"/>
    </row>
    <row r="35" spans="2:26">
      <c r="B35" s="84" t="s">
        <v>78</v>
      </c>
      <c r="C35" s="85">
        <f>+D31</f>
        <v>31</v>
      </c>
      <c r="D35" s="85">
        <v>33</v>
      </c>
      <c r="E35" s="86">
        <f>+F31</f>
        <v>610</v>
      </c>
      <c r="F35" s="86">
        <v>607</v>
      </c>
      <c r="G35" s="85">
        <f>+D35-C35</f>
        <v>2</v>
      </c>
      <c r="H35" s="85">
        <f>+F35-E35</f>
        <v>-3</v>
      </c>
      <c r="I35" s="87">
        <f>+H35/(G35*1000)</f>
        <v>-1.5E-3</v>
      </c>
      <c r="J35" s="88">
        <f>+($D35-$C35)/K35/24</f>
        <v>2.4509803921568627E-3</v>
      </c>
      <c r="K35" s="89">
        <v>34</v>
      </c>
      <c r="L35" s="89"/>
      <c r="M35" s="88">
        <f>+M31+J35</f>
        <v>4.2268388837016287E-2</v>
      </c>
      <c r="N35" s="90">
        <f>+J35/$M$95</f>
        <v>1.5886476594048418E-2</v>
      </c>
      <c r="O35" s="88">
        <f>+($D35-$C35)/P35/24</f>
        <v>2.8735632183908046E-3</v>
      </c>
      <c r="P35" s="134">
        <f>+K35-5</f>
        <v>29</v>
      </c>
      <c r="Q35" s="88">
        <f>+Q31+O35</f>
        <v>5.0017415534656912E-2</v>
      </c>
      <c r="R35" s="91">
        <f>+O35/$Q$95</f>
        <v>1.4944204376708806E-2</v>
      </c>
      <c r="T35" s="5">
        <f>+I35*G35</f>
        <v>-3.0000000000000001E-3</v>
      </c>
      <c r="U35" s="92">
        <f>+U31+G35</f>
        <v>33</v>
      </c>
      <c r="V35" s="1" t="s">
        <v>79</v>
      </c>
      <c r="W35" s="108">
        <f>+W33-1.25</f>
        <v>25.25</v>
      </c>
      <c r="Y35" s="1" t="s">
        <v>79</v>
      </c>
      <c r="Z35" s="108">
        <f>+Z33+1</f>
        <v>41</v>
      </c>
    </row>
    <row r="36" spans="2:26">
      <c r="B36" s="30" t="s">
        <v>80</v>
      </c>
      <c r="C36" s="93" t="s">
        <v>81</v>
      </c>
      <c r="D36" s="94"/>
      <c r="E36" s="31"/>
      <c r="F36" s="31"/>
      <c r="G36" s="31"/>
      <c r="H36" s="31"/>
      <c r="I36" s="31"/>
      <c r="J36" s="31"/>
      <c r="K36" s="95"/>
      <c r="L36" s="95"/>
      <c r="M36" s="31"/>
      <c r="N36" s="96"/>
      <c r="O36" s="31"/>
      <c r="P36" s="31"/>
      <c r="Q36" s="31"/>
      <c r="R36" s="97"/>
      <c r="T36" s="5"/>
      <c r="V36" s="1" t="s">
        <v>82</v>
      </c>
      <c r="W36" s="108">
        <f>+W35-1.25</f>
        <v>24</v>
      </c>
      <c r="Y36" s="1" t="s">
        <v>82</v>
      </c>
      <c r="Z36" s="108">
        <f>+Z35+1</f>
        <v>42</v>
      </c>
    </row>
    <row r="37" spans="2:26">
      <c r="B37" s="98"/>
      <c r="C37" s="99" t="s">
        <v>83</v>
      </c>
      <c r="D37" s="100"/>
      <c r="E37" s="101"/>
      <c r="F37" s="101"/>
      <c r="G37" s="101"/>
      <c r="H37" s="101"/>
      <c r="I37" s="101"/>
      <c r="J37" s="101"/>
      <c r="K37" s="102"/>
      <c r="L37" s="102"/>
      <c r="M37" s="101"/>
      <c r="N37" s="103"/>
      <c r="O37" s="101"/>
      <c r="P37" s="101"/>
      <c r="Q37" s="101"/>
      <c r="R37" s="104"/>
      <c r="T37" s="5"/>
      <c r="V37" s="1" t="s">
        <v>84</v>
      </c>
      <c r="W37" s="108">
        <f>+W36-1.25</f>
        <v>22.75</v>
      </c>
      <c r="Y37" s="1" t="s">
        <v>84</v>
      </c>
      <c r="Z37" s="108">
        <f>+Z36+1</f>
        <v>43</v>
      </c>
    </row>
    <row r="38" spans="2:26" s="106" customFormat="1" ht="4.5" customHeight="1">
      <c r="B38" s="105"/>
      <c r="C38" s="93"/>
      <c r="D38" s="94"/>
      <c r="E38" s="31"/>
      <c r="F38" s="31"/>
      <c r="G38" s="31"/>
      <c r="H38" s="31"/>
      <c r="I38" s="31"/>
      <c r="J38" s="31"/>
      <c r="K38" s="95"/>
      <c r="L38" s="95"/>
      <c r="M38" s="31"/>
      <c r="N38" s="96"/>
      <c r="O38" s="31"/>
      <c r="P38" s="31"/>
      <c r="Q38" s="31"/>
      <c r="R38" s="96"/>
      <c r="T38" s="107"/>
      <c r="U38" s="107"/>
      <c r="W38" s="133"/>
      <c r="Z38" s="133"/>
    </row>
    <row r="39" spans="2:26">
      <c r="B39" s="84" t="s">
        <v>85</v>
      </c>
      <c r="C39" s="85">
        <f>+D35</f>
        <v>33</v>
      </c>
      <c r="D39" s="85">
        <v>35</v>
      </c>
      <c r="E39" s="86">
        <f>+F35</f>
        <v>607</v>
      </c>
      <c r="F39" s="86">
        <v>615</v>
      </c>
      <c r="G39" s="85">
        <f>+D39-C39</f>
        <v>2</v>
      </c>
      <c r="H39" s="85">
        <f>+F39-E39</f>
        <v>8</v>
      </c>
      <c r="I39" s="87">
        <f>+H39/(G39*1000)</f>
        <v>4.0000000000000001E-3</v>
      </c>
      <c r="J39" s="88">
        <f>+($D39-$C39)/K39/24</f>
        <v>2.4509803921568627E-3</v>
      </c>
      <c r="K39" s="89">
        <v>34</v>
      </c>
      <c r="L39" s="89"/>
      <c r="M39" s="88">
        <f>+M35+J39</f>
        <v>4.4719369229173148E-2</v>
      </c>
      <c r="N39" s="90">
        <f>+J39/$M$95</f>
        <v>1.5886476594048418E-2</v>
      </c>
      <c r="O39" s="88">
        <f>+($D39-$C39)/P39/24</f>
        <v>2.8735632183908046E-3</v>
      </c>
      <c r="P39" s="134">
        <f>+K39-5</f>
        <v>29</v>
      </c>
      <c r="Q39" s="88">
        <f>+Q35+O39</f>
        <v>5.2890978753047713E-2</v>
      </c>
      <c r="R39" s="91">
        <f>+O39/$Q$95</f>
        <v>1.4944204376708806E-2</v>
      </c>
      <c r="T39" s="5">
        <f>+I39*G39</f>
        <v>8.0000000000000002E-3</v>
      </c>
      <c r="U39" s="92">
        <f>+U35+G39</f>
        <v>35</v>
      </c>
      <c r="V39" s="1" t="s">
        <v>86</v>
      </c>
      <c r="W39" s="108">
        <f>+W37-1.25</f>
        <v>21.5</v>
      </c>
      <c r="Y39" s="1" t="s">
        <v>86</v>
      </c>
      <c r="Z39" s="108">
        <f>+Z37+1.25</f>
        <v>44.25</v>
      </c>
    </row>
    <row r="40" spans="2:26">
      <c r="B40" s="30" t="s">
        <v>80</v>
      </c>
      <c r="C40" s="93" t="s">
        <v>81</v>
      </c>
      <c r="D40" s="94"/>
      <c r="E40" s="31"/>
      <c r="F40" s="31"/>
      <c r="G40" s="31"/>
      <c r="H40" s="31"/>
      <c r="I40" s="31"/>
      <c r="J40" s="31"/>
      <c r="K40" s="95"/>
      <c r="L40" s="95"/>
      <c r="M40" s="31"/>
      <c r="N40" s="96"/>
      <c r="O40" s="31"/>
      <c r="P40" s="31"/>
      <c r="Q40" s="31"/>
      <c r="R40" s="97"/>
      <c r="T40" s="5"/>
      <c r="V40" s="1" t="s">
        <v>87</v>
      </c>
      <c r="W40" s="108">
        <f>+W39-1.25</f>
        <v>20.25</v>
      </c>
      <c r="Y40" s="1" t="s">
        <v>87</v>
      </c>
      <c r="Z40" s="108">
        <f>+Z39+1.25</f>
        <v>45.5</v>
      </c>
    </row>
    <row r="41" spans="2:26">
      <c r="B41" s="98"/>
      <c r="C41" s="99" t="s">
        <v>88</v>
      </c>
      <c r="D41" s="100"/>
      <c r="E41" s="101"/>
      <c r="F41" s="101"/>
      <c r="G41" s="101"/>
      <c r="H41" s="101"/>
      <c r="I41" s="101"/>
      <c r="J41" s="101"/>
      <c r="K41" s="102"/>
      <c r="L41" s="102"/>
      <c r="M41" s="101"/>
      <c r="N41" s="103"/>
      <c r="O41" s="101"/>
      <c r="P41" s="101"/>
      <c r="Q41" s="101"/>
      <c r="R41" s="104"/>
      <c r="T41" s="5"/>
      <c r="V41" s="1" t="s">
        <v>89</v>
      </c>
      <c r="W41" s="108">
        <f>+W40-1.25</f>
        <v>19</v>
      </c>
      <c r="Y41" s="1" t="s">
        <v>89</v>
      </c>
      <c r="Z41" s="108">
        <f>+Z40+1.25</f>
        <v>46.75</v>
      </c>
    </row>
    <row r="42" spans="2:26" s="106" customFormat="1" ht="4.5" customHeight="1">
      <c r="B42" s="105"/>
      <c r="C42" s="93"/>
      <c r="D42" s="94"/>
      <c r="E42" s="31"/>
      <c r="F42" s="31"/>
      <c r="G42" s="31"/>
      <c r="H42" s="31"/>
      <c r="I42" s="31"/>
      <c r="J42" s="31"/>
      <c r="K42" s="95"/>
      <c r="L42" s="95"/>
      <c r="M42" s="31"/>
      <c r="N42" s="96"/>
      <c r="O42" s="31"/>
      <c r="P42" s="31"/>
      <c r="Q42" s="31"/>
      <c r="R42" s="96"/>
      <c r="T42" s="107"/>
      <c r="U42" s="107"/>
      <c r="W42" s="133"/>
      <c r="Z42" s="133"/>
    </row>
    <row r="43" spans="2:26">
      <c r="B43" s="84" t="s">
        <v>90</v>
      </c>
      <c r="C43" s="85">
        <f>+D39</f>
        <v>35</v>
      </c>
      <c r="D43" s="85">
        <v>44</v>
      </c>
      <c r="E43" s="86">
        <f>+F39</f>
        <v>615</v>
      </c>
      <c r="F43" s="86">
        <v>490</v>
      </c>
      <c r="G43" s="85">
        <f>+D43-C43</f>
        <v>9</v>
      </c>
      <c r="H43" s="85">
        <f>+F43-E43</f>
        <v>-125</v>
      </c>
      <c r="I43" s="87">
        <f>+H43/(G43*1000)</f>
        <v>-1.3888888888888888E-2</v>
      </c>
      <c r="J43" s="88">
        <f>+($D43-$C43)/K43/24</f>
        <v>1.0416666666666666E-2</v>
      </c>
      <c r="K43" s="89">
        <v>36</v>
      </c>
      <c r="L43" s="89"/>
      <c r="M43" s="88">
        <f>+M39+J43</f>
        <v>5.5136035895839812E-2</v>
      </c>
      <c r="N43" s="90">
        <f>+J43/$M$95</f>
        <v>6.7517525524705774E-2</v>
      </c>
      <c r="O43" s="88">
        <f>+($D43-$C43)/P43/24</f>
        <v>1.2096774193548388E-2</v>
      </c>
      <c r="P43" s="134">
        <f>+K43-5</f>
        <v>31</v>
      </c>
      <c r="Q43" s="88">
        <f>+Q39+O43</f>
        <v>6.4987752946596103E-2</v>
      </c>
      <c r="R43" s="91">
        <f>+O43/$Q$95</f>
        <v>6.2910279714854828E-2</v>
      </c>
      <c r="T43" s="5">
        <f>+I43*G43</f>
        <v>-0.125</v>
      </c>
      <c r="U43" s="92">
        <f>+U39+G43</f>
        <v>44</v>
      </c>
      <c r="V43" s="1" t="s">
        <v>91</v>
      </c>
      <c r="W43" s="108">
        <f>+W41-1.25</f>
        <v>17.75</v>
      </c>
      <c r="Y43" s="1" t="s">
        <v>91</v>
      </c>
      <c r="Z43" s="108">
        <f>+Z41+1.25</f>
        <v>48</v>
      </c>
    </row>
    <row r="44" spans="2:26">
      <c r="B44" s="30" t="s">
        <v>92</v>
      </c>
      <c r="C44" s="93" t="s">
        <v>93</v>
      </c>
      <c r="D44" s="94"/>
      <c r="E44" s="31"/>
      <c r="F44" s="31"/>
      <c r="G44" s="31"/>
      <c r="H44" s="31"/>
      <c r="I44" s="31"/>
      <c r="J44" s="31"/>
      <c r="K44" s="95"/>
      <c r="L44" s="95"/>
      <c r="M44" s="31"/>
      <c r="N44" s="96"/>
      <c r="O44" s="31"/>
      <c r="P44" s="31"/>
      <c r="Q44" s="31"/>
      <c r="R44" s="97"/>
      <c r="T44" s="5"/>
      <c r="V44" s="1" t="s">
        <v>94</v>
      </c>
      <c r="W44" s="108">
        <f>+W43-1.25</f>
        <v>16.5</v>
      </c>
      <c r="Y44" s="1" t="s">
        <v>94</v>
      </c>
      <c r="Z44" s="108">
        <f>+Z43+1.25</f>
        <v>49.25</v>
      </c>
    </row>
    <row r="45" spans="2:26">
      <c r="B45" s="98"/>
      <c r="C45" s="99" t="s">
        <v>95</v>
      </c>
      <c r="D45" s="100"/>
      <c r="E45" s="101"/>
      <c r="F45" s="101"/>
      <c r="G45" s="101"/>
      <c r="H45" s="101"/>
      <c r="I45" s="101"/>
      <c r="J45" s="101"/>
      <c r="K45" s="102"/>
      <c r="L45" s="102"/>
      <c r="M45" s="101"/>
      <c r="N45" s="103"/>
      <c r="O45" s="101"/>
      <c r="P45" s="101"/>
      <c r="Q45" s="101"/>
      <c r="R45" s="104"/>
      <c r="T45" s="5"/>
      <c r="V45" s="1" t="s">
        <v>96</v>
      </c>
      <c r="W45" s="108">
        <f>+W44-1.25</f>
        <v>15.25</v>
      </c>
      <c r="Y45" s="1" t="s">
        <v>96</v>
      </c>
      <c r="Z45" s="108">
        <f>+Z44+1.25</f>
        <v>50.5</v>
      </c>
    </row>
    <row r="46" spans="2:26" s="106" customFormat="1" ht="4.5" customHeight="1">
      <c r="B46" s="105"/>
      <c r="C46" s="93"/>
      <c r="D46" s="94"/>
      <c r="E46" s="31"/>
      <c r="F46" s="31"/>
      <c r="G46" s="31"/>
      <c r="H46" s="31"/>
      <c r="I46" s="31"/>
      <c r="J46" s="31"/>
      <c r="K46" s="95"/>
      <c r="L46" s="95"/>
      <c r="M46" s="31"/>
      <c r="N46" s="96"/>
      <c r="O46" s="31"/>
      <c r="P46" s="31"/>
      <c r="Q46" s="31"/>
      <c r="R46" s="96"/>
      <c r="T46" s="107"/>
      <c r="U46" s="107"/>
      <c r="W46" s="133"/>
      <c r="Z46" s="133"/>
    </row>
    <row r="47" spans="2:26">
      <c r="B47" s="84" t="s">
        <v>97</v>
      </c>
      <c r="C47" s="85">
        <f>+D43</f>
        <v>44</v>
      </c>
      <c r="D47" s="85">
        <v>46</v>
      </c>
      <c r="E47" s="86">
        <f>+F43</f>
        <v>490</v>
      </c>
      <c r="F47" s="86">
        <v>495</v>
      </c>
      <c r="G47" s="85">
        <f>+D47-C47</f>
        <v>2</v>
      </c>
      <c r="H47" s="85">
        <f>+F47-E47</f>
        <v>5</v>
      </c>
      <c r="I47" s="87">
        <f>+H47/(G47*1000)</f>
        <v>2.5000000000000001E-3</v>
      </c>
      <c r="J47" s="88">
        <f>+($D47-$C47)/K47/24</f>
        <v>2.4509803921568627E-3</v>
      </c>
      <c r="K47" s="89">
        <v>34</v>
      </c>
      <c r="L47" s="89"/>
      <c r="M47" s="88">
        <f>+M43+J47</f>
        <v>5.7587016287996673E-2</v>
      </c>
      <c r="N47" s="90">
        <f>+J47/$M$95</f>
        <v>1.5886476594048418E-2</v>
      </c>
      <c r="O47" s="88">
        <f>+($D47-$C47)/P47/24</f>
        <v>2.8735632183908046E-3</v>
      </c>
      <c r="P47" s="134">
        <f>+K47-5</f>
        <v>29</v>
      </c>
      <c r="Q47" s="88">
        <f>+Q43+O47</f>
        <v>6.7861316164986904E-2</v>
      </c>
      <c r="R47" s="91">
        <f>+O47/$Q$95</f>
        <v>1.4944204376708806E-2</v>
      </c>
      <c r="T47" s="5">
        <f>+I47*G47</f>
        <v>5.0000000000000001E-3</v>
      </c>
      <c r="U47" s="92">
        <f>+U43+G47</f>
        <v>46</v>
      </c>
      <c r="V47" s="1" t="s">
        <v>98</v>
      </c>
      <c r="W47" s="108">
        <f>+W45-1.25</f>
        <v>14</v>
      </c>
      <c r="Y47" s="1" t="s">
        <v>98</v>
      </c>
      <c r="Z47" s="108">
        <f>+Z45+1.25</f>
        <v>51.75</v>
      </c>
    </row>
    <row r="48" spans="2:26">
      <c r="B48" s="30" t="s">
        <v>80</v>
      </c>
      <c r="C48" s="93"/>
      <c r="D48" s="94"/>
      <c r="E48" s="31"/>
      <c r="F48" s="31"/>
      <c r="G48" s="31"/>
      <c r="H48" s="31"/>
      <c r="I48" s="31"/>
      <c r="J48" s="31"/>
      <c r="K48" s="95"/>
      <c r="L48" s="95"/>
      <c r="M48" s="31"/>
      <c r="N48" s="96"/>
      <c r="O48" s="31"/>
      <c r="P48" s="31"/>
      <c r="Q48" s="31"/>
      <c r="R48" s="97"/>
      <c r="T48" s="5"/>
      <c r="V48" s="1" t="s">
        <v>99</v>
      </c>
      <c r="W48" s="108">
        <f>+W47-1.25</f>
        <v>12.75</v>
      </c>
      <c r="Y48" s="1" t="s">
        <v>99</v>
      </c>
      <c r="Z48" s="108">
        <f>+Z47+1.25</f>
        <v>53</v>
      </c>
    </row>
    <row r="49" spans="2:26">
      <c r="B49" s="98"/>
      <c r="C49" s="99"/>
      <c r="D49" s="100"/>
      <c r="E49" s="101"/>
      <c r="F49" s="101"/>
      <c r="G49" s="101"/>
      <c r="H49" s="101"/>
      <c r="I49" s="101"/>
      <c r="J49" s="101"/>
      <c r="K49" s="102"/>
      <c r="L49" s="102"/>
      <c r="M49" s="101"/>
      <c r="N49" s="103"/>
      <c r="O49" s="101"/>
      <c r="P49" s="101"/>
      <c r="Q49" s="101"/>
      <c r="R49" s="104"/>
      <c r="T49" s="5"/>
      <c r="V49" s="1" t="s">
        <v>100</v>
      </c>
      <c r="W49" s="108">
        <f>+W48-1.25</f>
        <v>11.5</v>
      </c>
      <c r="Y49" s="1" t="s">
        <v>100</v>
      </c>
      <c r="Z49" s="108">
        <f>+Z48+1.25</f>
        <v>54.25</v>
      </c>
    </row>
    <row r="50" spans="2:26" s="106" customFormat="1" ht="4.5" customHeight="1">
      <c r="B50" s="105"/>
      <c r="C50" s="93"/>
      <c r="D50" s="94"/>
      <c r="E50" s="31"/>
      <c r="F50" s="31"/>
      <c r="G50" s="31"/>
      <c r="H50" s="31"/>
      <c r="I50" s="31"/>
      <c r="J50" s="31"/>
      <c r="K50" s="95"/>
      <c r="L50" s="95"/>
      <c r="M50" s="31"/>
      <c r="N50" s="96"/>
      <c r="O50" s="31"/>
      <c r="P50" s="31"/>
      <c r="Q50" s="31"/>
      <c r="R50" s="96"/>
      <c r="T50" s="107"/>
      <c r="U50" s="107"/>
      <c r="W50" s="133"/>
      <c r="Z50" s="133"/>
    </row>
    <row r="51" spans="2:26">
      <c r="B51" s="84" t="s">
        <v>101</v>
      </c>
      <c r="C51" s="85">
        <f>+D47</f>
        <v>46</v>
      </c>
      <c r="D51" s="85">
        <v>48</v>
      </c>
      <c r="E51" s="86">
        <f>+F47</f>
        <v>495</v>
      </c>
      <c r="F51" s="86">
        <v>499</v>
      </c>
      <c r="G51" s="85">
        <f>+D51-C51</f>
        <v>2</v>
      </c>
      <c r="H51" s="85">
        <f>+F51-E51</f>
        <v>4</v>
      </c>
      <c r="I51" s="87">
        <f>+H51/(G51*1000)</f>
        <v>2E-3</v>
      </c>
      <c r="J51" s="88">
        <f>+($D51-$C51)/K51/24</f>
        <v>2.4509803921568627E-3</v>
      </c>
      <c r="K51" s="89">
        <v>34</v>
      </c>
      <c r="L51" s="89"/>
      <c r="M51" s="88">
        <f>+M47+J51</f>
        <v>6.0037996680153534E-2</v>
      </c>
      <c r="N51" s="90">
        <f>+J51/$M$95</f>
        <v>1.5886476594048418E-2</v>
      </c>
      <c r="O51" s="88">
        <f>+($D51-$C51)/P51/24</f>
        <v>2.8735632183908046E-3</v>
      </c>
      <c r="P51" s="134">
        <f>+K51-5</f>
        <v>29</v>
      </c>
      <c r="Q51" s="88">
        <f>+Q47+O51</f>
        <v>7.0734879383377705E-2</v>
      </c>
      <c r="R51" s="91">
        <f>+O51/$Q$95</f>
        <v>1.4944204376708806E-2</v>
      </c>
      <c r="T51" s="5">
        <f>+I51*G51</f>
        <v>4.0000000000000001E-3</v>
      </c>
      <c r="U51" s="92">
        <f>+U47+G51</f>
        <v>48</v>
      </c>
      <c r="V51" s="1" t="s">
        <v>102</v>
      </c>
      <c r="W51" s="108">
        <f>+W49-1.25</f>
        <v>10.25</v>
      </c>
      <c r="Y51" s="1" t="s">
        <v>102</v>
      </c>
      <c r="Z51" s="108">
        <f>+Z49+1.25</f>
        <v>55.5</v>
      </c>
    </row>
    <row r="52" spans="2:26">
      <c r="B52" s="30" t="s">
        <v>80</v>
      </c>
      <c r="C52" s="93" t="s">
        <v>81</v>
      </c>
      <c r="D52" s="94"/>
      <c r="E52" s="31"/>
      <c r="F52" s="31"/>
      <c r="G52" s="31"/>
      <c r="H52" s="31"/>
      <c r="I52" s="31"/>
      <c r="J52" s="31"/>
      <c r="K52" s="95"/>
      <c r="L52" s="95"/>
      <c r="M52" s="31"/>
      <c r="N52" s="96"/>
      <c r="O52" s="31"/>
      <c r="P52" s="31"/>
      <c r="Q52" s="31"/>
      <c r="R52" s="97"/>
      <c r="T52" s="5"/>
    </row>
    <row r="53" spans="2:26">
      <c r="B53" s="98"/>
      <c r="C53" s="99" t="s">
        <v>103</v>
      </c>
      <c r="D53" s="100"/>
      <c r="E53" s="101"/>
      <c r="F53" s="101"/>
      <c r="G53" s="101"/>
      <c r="H53" s="101"/>
      <c r="I53" s="101"/>
      <c r="J53" s="101"/>
      <c r="K53" s="102"/>
      <c r="L53" s="102"/>
      <c r="M53" s="101"/>
      <c r="N53" s="103"/>
      <c r="O53" s="101"/>
      <c r="P53" s="101"/>
      <c r="Q53" s="101"/>
      <c r="R53" s="104"/>
      <c r="T53" s="5"/>
      <c r="W53" s="108"/>
      <c r="Z53" s="108"/>
    </row>
    <row r="54" spans="2:26" s="106" customFormat="1" ht="4.5" customHeight="1">
      <c r="B54" s="105"/>
      <c r="C54" s="93"/>
      <c r="D54" s="94"/>
      <c r="E54" s="31"/>
      <c r="F54" s="31"/>
      <c r="G54" s="31"/>
      <c r="H54" s="31"/>
      <c r="I54" s="31"/>
      <c r="J54" s="31"/>
      <c r="K54" s="95"/>
      <c r="L54" s="95"/>
      <c r="M54" s="31"/>
      <c r="N54" s="96"/>
      <c r="O54" s="31"/>
      <c r="P54" s="31"/>
      <c r="Q54" s="31"/>
      <c r="R54" s="96"/>
      <c r="T54" s="107"/>
      <c r="U54" s="107"/>
      <c r="W54" s="133"/>
      <c r="Z54" s="133"/>
    </row>
    <row r="55" spans="2:26">
      <c r="B55" s="136" t="s">
        <v>104</v>
      </c>
      <c r="C55" s="137">
        <f>+D51</f>
        <v>48</v>
      </c>
      <c r="D55" s="137">
        <v>57</v>
      </c>
      <c r="E55" s="138">
        <f>+F51</f>
        <v>499</v>
      </c>
      <c r="F55" s="138">
        <v>987</v>
      </c>
      <c r="G55" s="137">
        <f>+D55-C55</f>
        <v>9</v>
      </c>
      <c r="H55" s="137">
        <f>+F55-E55</f>
        <v>488</v>
      </c>
      <c r="I55" s="139">
        <f>+H55/(G55*1000)</f>
        <v>5.422222222222222E-2</v>
      </c>
      <c r="J55" s="140">
        <f>+($D55-$C55)/K55/24</f>
        <v>1.7441860465116279E-2</v>
      </c>
      <c r="K55" s="141">
        <v>21.5</v>
      </c>
      <c r="L55" s="141"/>
      <c r="M55" s="140">
        <f>+M51+J55</f>
        <v>7.7479857145269809E-2</v>
      </c>
      <c r="N55" s="142">
        <f>+J55/$M$95</f>
        <v>0.1130526008785771</v>
      </c>
      <c r="O55" s="140">
        <f>+($D55-$C55)/P55/24</f>
        <v>2.2727272727272724E-2</v>
      </c>
      <c r="P55" s="143">
        <f>+K55-5</f>
        <v>16.5</v>
      </c>
      <c r="Q55" s="140">
        <f>+Q51+O55</f>
        <v>9.3462152110650426E-2</v>
      </c>
      <c r="R55" s="144">
        <f>+O55/$Q$95</f>
        <v>0.11819507097942418</v>
      </c>
      <c r="T55" s="5">
        <f>+I55*G55</f>
        <v>0.48799999999999999</v>
      </c>
      <c r="U55" s="92">
        <f>+U51+G55</f>
        <v>57</v>
      </c>
    </row>
    <row r="56" spans="2:26">
      <c r="B56" s="48" t="s">
        <v>105</v>
      </c>
      <c r="C56" s="145" t="s">
        <v>106</v>
      </c>
      <c r="D56" s="146"/>
      <c r="E56" s="49"/>
      <c r="F56" s="49"/>
      <c r="G56" s="49"/>
      <c r="H56" s="49"/>
      <c r="I56" s="49"/>
      <c r="J56" s="49"/>
      <c r="K56" s="147"/>
      <c r="L56" s="147"/>
      <c r="M56" s="49"/>
      <c r="N56" s="148"/>
      <c r="O56" s="49"/>
      <c r="P56" s="49"/>
      <c r="Q56" s="49"/>
      <c r="R56" s="149"/>
      <c r="T56" s="5"/>
    </row>
    <row r="57" spans="2:26">
      <c r="B57" s="150"/>
      <c r="C57" s="151" t="s">
        <v>107</v>
      </c>
      <c r="D57" s="152"/>
      <c r="E57" s="153"/>
      <c r="F57" s="153"/>
      <c r="G57" s="153"/>
      <c r="H57" s="153"/>
      <c r="I57" s="153"/>
      <c r="J57" s="153"/>
      <c r="K57" s="154"/>
      <c r="L57" s="154"/>
      <c r="M57" s="153"/>
      <c r="N57" s="155"/>
      <c r="O57" s="153"/>
      <c r="P57" s="153"/>
      <c r="Q57" s="153"/>
      <c r="R57" s="156"/>
      <c r="T57" s="5"/>
    </row>
    <row r="58" spans="2:26" s="106" customFormat="1" ht="4.5" customHeight="1">
      <c r="B58" s="105"/>
      <c r="C58" s="93"/>
      <c r="D58" s="94"/>
      <c r="E58" s="31"/>
      <c r="F58" s="31"/>
      <c r="G58" s="31"/>
      <c r="H58" s="31"/>
      <c r="I58" s="31"/>
      <c r="J58" s="31"/>
      <c r="K58" s="95"/>
      <c r="L58" s="95"/>
      <c r="M58" s="31"/>
      <c r="N58" s="96"/>
      <c r="O58" s="31"/>
      <c r="P58" s="31"/>
      <c r="Q58" s="31"/>
      <c r="R58" s="96"/>
      <c r="T58" s="107"/>
      <c r="U58" s="107"/>
      <c r="W58" s="133"/>
      <c r="Z58" s="133"/>
    </row>
    <row r="59" spans="2:26">
      <c r="B59" s="157" t="s">
        <v>108</v>
      </c>
      <c r="C59" s="158">
        <f>+D55</f>
        <v>57</v>
      </c>
      <c r="D59" s="158">
        <v>65</v>
      </c>
      <c r="E59" s="159">
        <f>+F55</f>
        <v>987</v>
      </c>
      <c r="F59" s="159">
        <v>1613</v>
      </c>
      <c r="G59" s="158">
        <f>+D59-C59</f>
        <v>8</v>
      </c>
      <c r="H59" s="158">
        <f>+F59-E59</f>
        <v>626</v>
      </c>
      <c r="I59" s="160">
        <f>+H59/(G59*1000)</f>
        <v>7.825E-2</v>
      </c>
      <c r="J59" s="161">
        <f>+($D59-$C59)/K59/24</f>
        <v>2.178649237472767E-2</v>
      </c>
      <c r="K59" s="162">
        <v>15.3</v>
      </c>
      <c r="L59" s="162"/>
      <c r="M59" s="161">
        <f>+M55+J59</f>
        <v>9.9266349519997479E-2</v>
      </c>
      <c r="N59" s="163">
        <f>+J59/$M$95</f>
        <v>0.1412131252804304</v>
      </c>
      <c r="O59" s="161">
        <f>+($D59-$C59)/P59/24</f>
        <v>3.2362459546925564E-2</v>
      </c>
      <c r="P59" s="164">
        <f>+K59-5</f>
        <v>10.3</v>
      </c>
      <c r="Q59" s="161">
        <f>+Q55+O59</f>
        <v>0.125824611657576</v>
      </c>
      <c r="R59" s="165">
        <f>+O59/$Q$95</f>
        <v>0.1683036609415749</v>
      </c>
      <c r="T59" s="5">
        <f>+I59*G59</f>
        <v>0.626</v>
      </c>
      <c r="U59" s="92">
        <f>+U55+G59</f>
        <v>65</v>
      </c>
      <c r="W59" s="108"/>
      <c r="Z59" s="108"/>
    </row>
    <row r="60" spans="2:26">
      <c r="B60" s="166" t="s">
        <v>109</v>
      </c>
      <c r="C60" s="167" t="s">
        <v>110</v>
      </c>
      <c r="D60" s="168"/>
      <c r="E60" s="167"/>
      <c r="F60" s="167"/>
      <c r="G60" s="167"/>
      <c r="H60" s="167"/>
      <c r="I60" s="167"/>
      <c r="J60" s="167"/>
      <c r="K60" s="169"/>
      <c r="L60" s="169"/>
      <c r="M60" s="167"/>
      <c r="N60" s="170"/>
      <c r="O60" s="167"/>
      <c r="P60" s="167"/>
      <c r="Q60" s="167"/>
      <c r="R60" s="171"/>
      <c r="T60" s="5"/>
    </row>
    <row r="61" spans="2:26">
      <c r="B61" s="172"/>
      <c r="C61" s="61" t="s">
        <v>111</v>
      </c>
      <c r="D61" s="173"/>
      <c r="E61" s="61"/>
      <c r="F61" s="61"/>
      <c r="G61" s="61"/>
      <c r="H61" s="61"/>
      <c r="I61" s="61"/>
      <c r="J61" s="61"/>
      <c r="K61" s="174"/>
      <c r="L61" s="174"/>
      <c r="M61" s="61"/>
      <c r="N61" s="175"/>
      <c r="O61" s="61"/>
      <c r="P61" s="61"/>
      <c r="Q61" s="61"/>
      <c r="R61" s="176"/>
      <c r="T61" s="5"/>
    </row>
    <row r="62" spans="2:26" s="106" customFormat="1" ht="4.5" customHeight="1">
      <c r="B62" s="105"/>
      <c r="C62" s="93"/>
      <c r="D62" s="94"/>
      <c r="E62" s="31"/>
      <c r="F62" s="31"/>
      <c r="G62" s="31"/>
      <c r="H62" s="31"/>
      <c r="I62" s="31"/>
      <c r="J62" s="31"/>
      <c r="K62" s="95"/>
      <c r="L62" s="95"/>
      <c r="M62" s="31"/>
      <c r="N62" s="96"/>
      <c r="O62" s="31"/>
      <c r="P62" s="31"/>
      <c r="Q62" s="31"/>
      <c r="R62" s="96"/>
      <c r="T62" s="107"/>
      <c r="U62" s="107"/>
      <c r="V62" s="1"/>
      <c r="W62" s="108"/>
      <c r="X62" s="1"/>
      <c r="Y62" s="1"/>
      <c r="Z62" s="109"/>
    </row>
    <row r="63" spans="2:26">
      <c r="B63" s="177" t="s">
        <v>112</v>
      </c>
      <c r="C63" s="178">
        <f>+D59</f>
        <v>65</v>
      </c>
      <c r="D63" s="178">
        <v>70</v>
      </c>
      <c r="E63" s="179">
        <f>+F59</f>
        <v>1613</v>
      </c>
      <c r="F63" s="179">
        <v>1300</v>
      </c>
      <c r="G63" s="178">
        <f>+D63-C63</f>
        <v>5</v>
      </c>
      <c r="H63" s="178">
        <f>+F63-E63</f>
        <v>-313</v>
      </c>
      <c r="I63" s="180">
        <f>+H63/(G63*1000)</f>
        <v>-6.2600000000000003E-2</v>
      </c>
      <c r="J63" s="181">
        <f>+($D63-$C63)/K63/24</f>
        <v>4.4326241134751776E-3</v>
      </c>
      <c r="K63" s="182">
        <v>47</v>
      </c>
      <c r="L63" s="182"/>
      <c r="M63" s="181">
        <f>+M59+J63</f>
        <v>0.10369897363347266</v>
      </c>
      <c r="N63" s="183">
        <f>+J63/$M$95</f>
        <v>2.8730861925406713E-2</v>
      </c>
      <c r="O63" s="181">
        <f>+($D63-$C63)/P63/24</f>
        <v>4.96031746031746E-3</v>
      </c>
      <c r="P63" s="184">
        <f>+K63-5</f>
        <v>42</v>
      </c>
      <c r="Q63" s="181">
        <f>+Q59+O63</f>
        <v>0.13078492911789347</v>
      </c>
      <c r="R63" s="185">
        <f>+O63/$Q$95</f>
        <v>2.579654326931877E-2</v>
      </c>
      <c r="T63" s="5">
        <f>+I63*G63</f>
        <v>-0.313</v>
      </c>
      <c r="U63" s="92">
        <f>+U59+G63</f>
        <v>70</v>
      </c>
      <c r="V63" s="186"/>
      <c r="W63" s="187"/>
    </row>
    <row r="64" spans="2:26">
      <c r="B64" s="54" t="s">
        <v>113</v>
      </c>
      <c r="C64" s="55" t="s">
        <v>114</v>
      </c>
      <c r="D64" s="188"/>
      <c r="E64" s="55"/>
      <c r="F64" s="55"/>
      <c r="G64" s="55"/>
      <c r="H64" s="55"/>
      <c r="I64" s="55"/>
      <c r="J64" s="55"/>
      <c r="K64" s="189"/>
      <c r="L64" s="189"/>
      <c r="M64" s="55"/>
      <c r="N64" s="190"/>
      <c r="O64" s="55"/>
      <c r="P64" s="55"/>
      <c r="Q64" s="55"/>
      <c r="R64" s="191"/>
      <c r="T64" s="5"/>
    </row>
    <row r="65" spans="2:26">
      <c r="B65" s="192"/>
      <c r="C65" s="193" t="s">
        <v>115</v>
      </c>
      <c r="D65" s="194"/>
      <c r="E65" s="193"/>
      <c r="F65" s="193"/>
      <c r="G65" s="193"/>
      <c r="H65" s="193"/>
      <c r="I65" s="193"/>
      <c r="J65" s="193"/>
      <c r="K65" s="195"/>
      <c r="L65" s="195"/>
      <c r="M65" s="193"/>
      <c r="N65" s="196"/>
      <c r="O65" s="193"/>
      <c r="P65" s="193"/>
      <c r="Q65" s="193"/>
      <c r="R65" s="197"/>
      <c r="T65" s="5"/>
    </row>
    <row r="66" spans="2:26" s="106" customFormat="1" ht="4.5" customHeight="1">
      <c r="B66" s="105"/>
      <c r="C66" s="93"/>
      <c r="D66" s="94"/>
      <c r="E66" s="31"/>
      <c r="F66" s="31"/>
      <c r="G66" s="31"/>
      <c r="H66" s="31"/>
      <c r="I66" s="31"/>
      <c r="J66" s="31"/>
      <c r="K66" s="95"/>
      <c r="L66" s="95"/>
      <c r="M66" s="31"/>
      <c r="N66" s="96"/>
      <c r="O66" s="31"/>
      <c r="P66" s="31"/>
      <c r="Q66" s="31"/>
      <c r="R66" s="96"/>
      <c r="T66" s="107"/>
      <c r="U66" s="107"/>
      <c r="V66" s="1"/>
      <c r="W66" s="108"/>
      <c r="X66" s="1"/>
      <c r="Y66" s="1"/>
      <c r="Z66" s="109"/>
    </row>
    <row r="67" spans="2:26">
      <c r="B67" s="198" t="s">
        <v>116</v>
      </c>
      <c r="C67" s="199">
        <f>+D63</f>
        <v>70</v>
      </c>
      <c r="D67" s="199">
        <v>75</v>
      </c>
      <c r="E67" s="200">
        <f>+F63</f>
        <v>1300</v>
      </c>
      <c r="F67" s="200">
        <v>910</v>
      </c>
      <c r="G67" s="199">
        <f>+D67-C67</f>
        <v>5</v>
      </c>
      <c r="H67" s="199">
        <f>+F67-E67</f>
        <v>-390</v>
      </c>
      <c r="I67" s="201">
        <f>+H67/(G67*1000)</f>
        <v>-7.8E-2</v>
      </c>
      <c r="J67" s="202">
        <f>+($D67-$C67)/K67/24</f>
        <v>4.0849673202614381E-3</v>
      </c>
      <c r="K67" s="203">
        <v>51</v>
      </c>
      <c r="L67" s="203"/>
      <c r="M67" s="202">
        <f>+M63+J67</f>
        <v>0.1077839409537341</v>
      </c>
      <c r="N67" s="204">
        <f>+J67/$M$95</f>
        <v>2.6477460990080696E-2</v>
      </c>
      <c r="O67" s="202">
        <f>+($D67-$C67)/P67/24</f>
        <v>4.528985507246377E-3</v>
      </c>
      <c r="P67" s="205">
        <f>+K67-5</f>
        <v>46</v>
      </c>
      <c r="Q67" s="202">
        <f>+Q63+O67</f>
        <v>0.13531391462513984</v>
      </c>
      <c r="R67" s="206">
        <f>+O67/$Q$95</f>
        <v>2.3553365593725839E-2</v>
      </c>
      <c r="T67" s="5">
        <f>+I67*G67</f>
        <v>-0.39</v>
      </c>
      <c r="U67" s="92">
        <f>+U63+G67</f>
        <v>75</v>
      </c>
      <c r="V67" s="186"/>
      <c r="W67" s="187"/>
    </row>
    <row r="68" spans="2:26">
      <c r="B68" s="207" t="s">
        <v>113</v>
      </c>
      <c r="C68" s="208"/>
      <c r="D68" s="209"/>
      <c r="E68" s="208"/>
      <c r="F68" s="208"/>
      <c r="G68" s="208"/>
      <c r="H68" s="208"/>
      <c r="I68" s="208"/>
      <c r="J68" s="208"/>
      <c r="K68" s="210"/>
      <c r="L68" s="210"/>
      <c r="M68" s="208"/>
      <c r="N68" s="211"/>
      <c r="O68" s="208"/>
      <c r="P68" s="208"/>
      <c r="Q68" s="208"/>
      <c r="R68" s="212"/>
      <c r="T68" s="5"/>
    </row>
    <row r="69" spans="2:26">
      <c r="B69" s="67"/>
      <c r="C69" s="68"/>
      <c r="D69" s="213"/>
      <c r="E69" s="68"/>
      <c r="F69" s="68"/>
      <c r="G69" s="68"/>
      <c r="H69" s="68"/>
      <c r="I69" s="68"/>
      <c r="J69" s="68"/>
      <c r="K69" s="214"/>
      <c r="L69" s="214"/>
      <c r="M69" s="68"/>
      <c r="N69" s="215"/>
      <c r="O69" s="68"/>
      <c r="P69" s="68"/>
      <c r="Q69" s="68"/>
      <c r="R69" s="216"/>
      <c r="T69" s="5"/>
    </row>
    <row r="70" spans="2:26" s="106" customFormat="1" ht="4.5" customHeight="1">
      <c r="B70" s="105"/>
      <c r="C70" s="93"/>
      <c r="D70" s="94"/>
      <c r="E70" s="31"/>
      <c r="F70" s="31"/>
      <c r="G70" s="31"/>
      <c r="H70" s="31"/>
      <c r="I70" s="31"/>
      <c r="J70" s="31"/>
      <c r="K70" s="95"/>
      <c r="L70" s="95"/>
      <c r="M70" s="31"/>
      <c r="N70" s="96"/>
      <c r="O70" s="31"/>
      <c r="P70" s="31"/>
      <c r="Q70" s="31"/>
      <c r="R70" s="96"/>
      <c r="T70" s="107"/>
      <c r="U70" s="107"/>
      <c r="V70" s="1"/>
      <c r="W70" s="108"/>
      <c r="X70" s="1"/>
      <c r="Y70" s="1"/>
      <c r="Z70" s="109"/>
    </row>
    <row r="71" spans="2:26">
      <c r="B71" s="198" t="s">
        <v>117</v>
      </c>
      <c r="C71" s="199">
        <f>+D67</f>
        <v>75</v>
      </c>
      <c r="D71" s="199">
        <v>78</v>
      </c>
      <c r="E71" s="200">
        <f>+F63</f>
        <v>1300</v>
      </c>
      <c r="F71" s="200">
        <v>972</v>
      </c>
      <c r="G71" s="199">
        <f>+D71-C71</f>
        <v>3</v>
      </c>
      <c r="H71" s="199">
        <f>+F71-E71</f>
        <v>-328</v>
      </c>
      <c r="I71" s="201">
        <f>+H71/(G71*1000)</f>
        <v>-0.10933333333333334</v>
      </c>
      <c r="J71" s="202">
        <f>+($D71-$C71)/K71/24</f>
        <v>2.1551724137931034E-3</v>
      </c>
      <c r="K71" s="203">
        <v>58</v>
      </c>
      <c r="L71" s="203"/>
      <c r="M71" s="202">
        <f>+M67+J71</f>
        <v>0.10993911336752721</v>
      </c>
      <c r="N71" s="204">
        <f>+J71/$M$95</f>
        <v>1.3969143212008091E-2</v>
      </c>
      <c r="O71" s="202">
        <f>+($D71-$C71)/P71/24</f>
        <v>2.3584905660377358E-3</v>
      </c>
      <c r="P71" s="205">
        <f>+K71-5</f>
        <v>53</v>
      </c>
      <c r="Q71" s="202">
        <f>+Q67+O71</f>
        <v>0.13767240519117757</v>
      </c>
      <c r="R71" s="206">
        <f>+O71/$Q$95</f>
        <v>1.2265526233713832E-2</v>
      </c>
      <c r="T71" s="5">
        <f>+I71*G71</f>
        <v>-0.32800000000000001</v>
      </c>
      <c r="U71" s="92">
        <f>+U67+G71</f>
        <v>78</v>
      </c>
      <c r="V71" s="186"/>
      <c r="W71" s="187"/>
    </row>
    <row r="72" spans="2:26">
      <c r="B72" s="207" t="s">
        <v>118</v>
      </c>
      <c r="C72" s="208"/>
      <c r="D72" s="209"/>
      <c r="E72" s="208"/>
      <c r="F72" s="208"/>
      <c r="G72" s="208"/>
      <c r="H72" s="208"/>
      <c r="I72" s="208"/>
      <c r="J72" s="208"/>
      <c r="K72" s="210"/>
      <c r="L72" s="210"/>
      <c r="M72" s="208"/>
      <c r="N72" s="211"/>
      <c r="O72" s="208"/>
      <c r="P72" s="208"/>
      <c r="Q72" s="208"/>
      <c r="R72" s="212"/>
      <c r="T72" s="5"/>
    </row>
    <row r="73" spans="2:26">
      <c r="B73" s="67"/>
      <c r="C73" s="68"/>
      <c r="D73" s="213"/>
      <c r="E73" s="68"/>
      <c r="F73" s="68"/>
      <c r="G73" s="68"/>
      <c r="H73" s="68"/>
      <c r="I73" s="68"/>
      <c r="J73" s="68"/>
      <c r="K73" s="214"/>
      <c r="L73" s="214"/>
      <c r="M73" s="68"/>
      <c r="N73" s="215"/>
      <c r="O73" s="68"/>
      <c r="P73" s="68"/>
      <c r="Q73" s="68"/>
      <c r="R73" s="216"/>
      <c r="T73" s="5"/>
    </row>
    <row r="74" spans="2:26" s="106" customFormat="1" ht="4.5" customHeight="1">
      <c r="B74" s="105"/>
      <c r="C74" s="93"/>
      <c r="D74" s="94"/>
      <c r="E74" s="31"/>
      <c r="F74" s="31"/>
      <c r="G74" s="31"/>
      <c r="H74" s="31"/>
      <c r="I74" s="31"/>
      <c r="J74" s="31"/>
      <c r="K74" s="95"/>
      <c r="L74" s="95"/>
      <c r="M74" s="31"/>
      <c r="N74" s="96"/>
      <c r="O74" s="31"/>
      <c r="P74" s="31"/>
      <c r="Q74" s="31"/>
      <c r="R74" s="96"/>
      <c r="T74" s="107"/>
      <c r="U74" s="107"/>
      <c r="V74" s="1"/>
      <c r="W74" s="108"/>
      <c r="X74" s="1"/>
      <c r="Y74" s="1"/>
      <c r="Z74" s="109"/>
    </row>
    <row r="75" spans="2:26">
      <c r="B75" s="84" t="s">
        <v>119</v>
      </c>
      <c r="C75" s="85">
        <f>+D71</f>
        <v>78</v>
      </c>
      <c r="D75" s="85">
        <v>81</v>
      </c>
      <c r="E75" s="86">
        <f>+F71</f>
        <v>972</v>
      </c>
      <c r="F75" s="86">
        <v>1040</v>
      </c>
      <c r="G75" s="85">
        <f>+D75-C75</f>
        <v>3</v>
      </c>
      <c r="H75" s="85">
        <f>+F75-E75</f>
        <v>68</v>
      </c>
      <c r="I75" s="87">
        <f>+H75/(G75*1000)</f>
        <v>2.2666666666666668E-2</v>
      </c>
      <c r="J75" s="88">
        <f>+($D75-$C75)/K75/24</f>
        <v>4.3103448275862068E-3</v>
      </c>
      <c r="K75" s="89">
        <v>29</v>
      </c>
      <c r="L75" s="89"/>
      <c r="M75" s="88">
        <f>+M71+J75</f>
        <v>0.11424945819511341</v>
      </c>
      <c r="N75" s="90">
        <f>+J75/$M$95</f>
        <v>2.7938286424016183E-2</v>
      </c>
      <c r="O75" s="88">
        <f>+($D75-$C75)/P75/24</f>
        <v>5.208333333333333E-3</v>
      </c>
      <c r="P75" s="134">
        <f>+K75-5</f>
        <v>24</v>
      </c>
      <c r="Q75" s="88">
        <f>+Q71+O75</f>
        <v>0.14288073852451091</v>
      </c>
      <c r="R75" s="91">
        <f>+O75/$Q$95</f>
        <v>2.7086370432784709E-2</v>
      </c>
      <c r="T75" s="5">
        <f>+I75*G75</f>
        <v>6.8000000000000005E-2</v>
      </c>
      <c r="U75" s="92">
        <f>+U71+G75</f>
        <v>81</v>
      </c>
      <c r="V75" s="186"/>
      <c r="W75" s="187"/>
    </row>
    <row r="76" spans="2:26">
      <c r="B76" s="30" t="s">
        <v>120</v>
      </c>
      <c r="C76" s="217" t="s">
        <v>121</v>
      </c>
      <c r="D76" s="94"/>
      <c r="E76" s="31"/>
      <c r="F76" s="31"/>
      <c r="G76" s="31"/>
      <c r="H76" s="31"/>
      <c r="I76" s="31"/>
      <c r="J76" s="31"/>
      <c r="K76" s="95"/>
      <c r="L76" s="95"/>
      <c r="M76" s="31"/>
      <c r="N76" s="96"/>
      <c r="O76" s="31"/>
      <c r="P76" s="31"/>
      <c r="Q76" s="31"/>
      <c r="R76" s="97"/>
      <c r="T76" s="5"/>
    </row>
    <row r="77" spans="2:26">
      <c r="B77" s="98"/>
      <c r="C77" s="218" t="s">
        <v>122</v>
      </c>
      <c r="D77" s="100"/>
      <c r="E77" s="101"/>
      <c r="F77" s="101"/>
      <c r="G77" s="101"/>
      <c r="H77" s="101"/>
      <c r="I77" s="101"/>
      <c r="J77" s="101"/>
      <c r="K77" s="102"/>
      <c r="L77" s="102"/>
      <c r="M77" s="101"/>
      <c r="N77" s="103"/>
      <c r="O77" s="101"/>
      <c r="P77" s="101"/>
      <c r="Q77" s="101"/>
      <c r="R77" s="104"/>
      <c r="T77" s="5"/>
    </row>
    <row r="78" spans="2:26" s="106" customFormat="1" ht="4.5" customHeight="1">
      <c r="B78" s="105"/>
      <c r="C78" s="93"/>
      <c r="D78" s="94"/>
      <c r="E78" s="31"/>
      <c r="F78" s="31"/>
      <c r="G78" s="31"/>
      <c r="H78" s="31"/>
      <c r="I78" s="31"/>
      <c r="J78" s="31"/>
      <c r="K78" s="95"/>
      <c r="L78" s="95"/>
      <c r="M78" s="31"/>
      <c r="N78" s="96"/>
      <c r="O78" s="31"/>
      <c r="P78" s="31"/>
      <c r="Q78" s="31"/>
      <c r="R78" s="96"/>
      <c r="T78" s="107"/>
      <c r="U78" s="107"/>
      <c r="V78" s="1"/>
      <c r="W78" s="108"/>
      <c r="X78" s="1"/>
      <c r="Y78" s="1"/>
      <c r="Z78" s="109"/>
    </row>
    <row r="79" spans="2:26">
      <c r="B79" s="136" t="s">
        <v>123</v>
      </c>
      <c r="C79" s="137">
        <f>+D75</f>
        <v>81</v>
      </c>
      <c r="D79" s="137">
        <v>89</v>
      </c>
      <c r="E79" s="138">
        <f>+F75</f>
        <v>1040</v>
      </c>
      <c r="F79" s="138">
        <v>1486</v>
      </c>
      <c r="G79" s="137">
        <f>+D79-C79</f>
        <v>8</v>
      </c>
      <c r="H79" s="137">
        <f>+F79-E79</f>
        <v>446</v>
      </c>
      <c r="I79" s="139">
        <f>+H79/(G79*1000)</f>
        <v>5.5750000000000001E-2</v>
      </c>
      <c r="J79" s="140">
        <f>+($D79-$C79)/K79/24</f>
        <v>1.6420361247947452E-2</v>
      </c>
      <c r="K79" s="141">
        <v>20.3</v>
      </c>
      <c r="L79" s="141"/>
      <c r="M79" s="140">
        <f>+M75+J79</f>
        <v>0.13066981944306086</v>
      </c>
      <c r="N79" s="142">
        <f>+J79/$M$95</f>
        <v>0.10643156732958543</v>
      </c>
      <c r="O79" s="140">
        <f>+($D79-$C79)/P79/24</f>
        <v>2.178649237472767E-2</v>
      </c>
      <c r="P79" s="143">
        <f>+K79-5</f>
        <v>15.3</v>
      </c>
      <c r="Q79" s="140">
        <f>+Q75+O79</f>
        <v>0.16466723089923857</v>
      </c>
      <c r="R79" s="144">
        <f>+O79/$Q$95</f>
        <v>0.11330246455543933</v>
      </c>
      <c r="T79" s="5">
        <f>+I79*G79</f>
        <v>0.44600000000000001</v>
      </c>
      <c r="U79" s="92">
        <f>+U75+G79</f>
        <v>89</v>
      </c>
      <c r="V79" s="186"/>
      <c r="W79" s="187"/>
    </row>
    <row r="80" spans="2:26">
      <c r="B80" s="48" t="s">
        <v>105</v>
      </c>
      <c r="C80" s="49" t="s">
        <v>124</v>
      </c>
      <c r="D80" s="146"/>
      <c r="E80" s="49"/>
      <c r="F80" s="49"/>
      <c r="G80" s="49"/>
      <c r="H80" s="49"/>
      <c r="I80" s="49"/>
      <c r="J80" s="49"/>
      <c r="K80" s="147"/>
      <c r="L80" s="147"/>
      <c r="M80" s="49"/>
      <c r="N80" s="148"/>
      <c r="O80" s="49"/>
      <c r="P80" s="49"/>
      <c r="Q80" s="49"/>
      <c r="R80" s="149"/>
      <c r="T80" s="5"/>
    </row>
    <row r="81" spans="2:26">
      <c r="B81" s="150"/>
      <c r="C81" s="153" t="s">
        <v>125</v>
      </c>
      <c r="D81" s="152"/>
      <c r="E81" s="153"/>
      <c r="F81" s="153"/>
      <c r="G81" s="153"/>
      <c r="H81" s="153"/>
      <c r="I81" s="153"/>
      <c r="J81" s="153"/>
      <c r="K81" s="154"/>
      <c r="L81" s="154"/>
      <c r="M81" s="153"/>
      <c r="N81" s="155"/>
      <c r="O81" s="153"/>
      <c r="P81" s="153"/>
      <c r="Q81" s="153"/>
      <c r="R81" s="156"/>
      <c r="T81" s="5"/>
    </row>
    <row r="82" spans="2:26" s="106" customFormat="1" ht="4.5" customHeight="1">
      <c r="B82" s="105"/>
      <c r="C82" s="93"/>
      <c r="D82" s="94"/>
      <c r="E82" s="31"/>
      <c r="F82" s="31"/>
      <c r="G82" s="31"/>
      <c r="H82" s="31"/>
      <c r="I82" s="31"/>
      <c r="J82" s="31"/>
      <c r="K82" s="95"/>
      <c r="L82" s="95"/>
      <c r="M82" s="31"/>
      <c r="N82" s="96"/>
      <c r="O82" s="31"/>
      <c r="P82" s="31"/>
      <c r="Q82" s="31"/>
      <c r="R82" s="96"/>
      <c r="T82" s="107"/>
      <c r="U82" s="107"/>
      <c r="V82" s="1"/>
      <c r="W82" s="108"/>
      <c r="X82" s="1"/>
      <c r="Y82" s="1"/>
      <c r="Z82" s="109"/>
    </row>
    <row r="83" spans="2:26">
      <c r="B83" s="198" t="s">
        <v>126</v>
      </c>
      <c r="C83" s="199">
        <f>+D79</f>
        <v>89</v>
      </c>
      <c r="D83" s="199">
        <v>94</v>
      </c>
      <c r="E83" s="200">
        <f>+F79</f>
        <v>1486</v>
      </c>
      <c r="F83" s="200">
        <v>1087</v>
      </c>
      <c r="G83" s="199">
        <f>+D83-C83</f>
        <v>5</v>
      </c>
      <c r="H83" s="199">
        <f>+F83-E83</f>
        <v>-399</v>
      </c>
      <c r="I83" s="201">
        <f>+H83/(G83*1000)</f>
        <v>-7.9799999999999996E-2</v>
      </c>
      <c r="J83" s="202">
        <f>+($D83-$C83)/K83/24</f>
        <v>4.0064102564102569E-3</v>
      </c>
      <c r="K83" s="203">
        <v>52</v>
      </c>
      <c r="L83" s="203"/>
      <c r="M83" s="202">
        <f>+M79+J83</f>
        <v>0.13467622969947113</v>
      </c>
      <c r="N83" s="204">
        <f>+J83/$M$95</f>
        <v>2.5968279047963762E-2</v>
      </c>
      <c r="O83" s="202">
        <f>+($D83-$C83)/P83/24</f>
        <v>4.4326241134751776E-3</v>
      </c>
      <c r="P83" s="205">
        <f>+K83-5</f>
        <v>47</v>
      </c>
      <c r="Q83" s="202">
        <f>+Q79+O83</f>
        <v>0.16909985501271374</v>
      </c>
      <c r="R83" s="206">
        <f>+O83/$Q$95</f>
        <v>2.3052230155561459E-2</v>
      </c>
      <c r="T83" s="5">
        <f>+I83*G83</f>
        <v>-0.39899999999999997</v>
      </c>
      <c r="U83" s="92">
        <f>+U79+G83</f>
        <v>94</v>
      </c>
      <c r="V83" s="186"/>
      <c r="W83" s="187"/>
    </row>
    <row r="84" spans="2:26">
      <c r="B84" s="207" t="s">
        <v>113</v>
      </c>
      <c r="C84" s="208" t="s">
        <v>127</v>
      </c>
      <c r="D84" s="209"/>
      <c r="E84" s="208"/>
      <c r="F84" s="208"/>
      <c r="G84" s="208"/>
      <c r="H84" s="208"/>
      <c r="I84" s="208"/>
      <c r="J84" s="208"/>
      <c r="K84" s="210"/>
      <c r="L84" s="210"/>
      <c r="M84" s="208"/>
      <c r="N84" s="211"/>
      <c r="O84" s="208"/>
      <c r="P84" s="208"/>
      <c r="Q84" s="208"/>
      <c r="R84" s="212"/>
      <c r="T84" s="5"/>
    </row>
    <row r="85" spans="2:26">
      <c r="B85" s="67"/>
      <c r="C85" s="68" t="s">
        <v>128</v>
      </c>
      <c r="D85" s="213"/>
      <c r="E85" s="68"/>
      <c r="F85" s="68"/>
      <c r="G85" s="68"/>
      <c r="H85" s="68"/>
      <c r="I85" s="68"/>
      <c r="J85" s="68"/>
      <c r="K85" s="214"/>
      <c r="L85" s="214"/>
      <c r="M85" s="68"/>
      <c r="N85" s="215"/>
      <c r="O85" s="68"/>
      <c r="P85" s="68"/>
      <c r="Q85" s="68"/>
      <c r="R85" s="216"/>
      <c r="T85" s="5"/>
    </row>
    <row r="86" spans="2:26" s="106" customFormat="1" ht="4.5" customHeight="1">
      <c r="B86" s="105"/>
      <c r="C86" s="93"/>
      <c r="D86" s="94"/>
      <c r="E86" s="31"/>
      <c r="F86" s="31"/>
      <c r="G86" s="31"/>
      <c r="H86" s="31"/>
      <c r="I86" s="31"/>
      <c r="J86" s="31"/>
      <c r="K86" s="95"/>
      <c r="L86" s="95"/>
      <c r="M86" s="31"/>
      <c r="N86" s="96"/>
      <c r="O86" s="31"/>
      <c r="P86" s="31"/>
      <c r="Q86" s="31"/>
      <c r="R86" s="96"/>
      <c r="T86" s="107"/>
      <c r="U86" s="107"/>
      <c r="V86" s="1"/>
      <c r="W86" s="108"/>
      <c r="X86" s="1"/>
      <c r="Y86" s="1"/>
      <c r="Z86" s="109"/>
    </row>
    <row r="87" spans="2:26">
      <c r="B87" s="84" t="s">
        <v>129</v>
      </c>
      <c r="C87" s="85">
        <f>+D83</f>
        <v>94</v>
      </c>
      <c r="D87" s="85">
        <v>100</v>
      </c>
      <c r="E87" s="86">
        <f>+F83</f>
        <v>1087</v>
      </c>
      <c r="F87" s="86">
        <v>925</v>
      </c>
      <c r="G87" s="85">
        <f>+D87-C87</f>
        <v>6</v>
      </c>
      <c r="H87" s="85">
        <f>+F87-E87</f>
        <v>-162</v>
      </c>
      <c r="I87" s="87">
        <f>+H87/(G87*1000)</f>
        <v>-2.7E-2</v>
      </c>
      <c r="J87" s="88">
        <f>+($D87-$C87)/K87/24</f>
        <v>6.4102564102564109E-3</v>
      </c>
      <c r="K87" s="89">
        <v>39</v>
      </c>
      <c r="L87" s="89"/>
      <c r="M87" s="88">
        <f>+M83+J87</f>
        <v>0.14108648610972754</v>
      </c>
      <c r="N87" s="90">
        <f>+J87/$M$95</f>
        <v>4.1549246476742019E-2</v>
      </c>
      <c r="O87" s="88">
        <f>+($D87-$C87)/P87/24</f>
        <v>7.352941176470589E-3</v>
      </c>
      <c r="P87" s="134">
        <f>+K87-5</f>
        <v>34</v>
      </c>
      <c r="Q87" s="88">
        <f>+Q83+O87</f>
        <v>0.17645279618918433</v>
      </c>
      <c r="R87" s="91">
        <f>+O87/$Q$95</f>
        <v>3.8239581787460772E-2</v>
      </c>
      <c r="T87" s="5">
        <f>+I87*G87</f>
        <v>-0.16200000000000001</v>
      </c>
      <c r="U87" s="92">
        <f>+U83+G87</f>
        <v>100</v>
      </c>
      <c r="V87" s="186"/>
      <c r="W87" s="187"/>
    </row>
    <row r="88" spans="2:26">
      <c r="B88" s="30" t="s">
        <v>130</v>
      </c>
      <c r="C88" s="31"/>
      <c r="D88" s="94"/>
      <c r="E88" s="31"/>
      <c r="F88" s="31"/>
      <c r="G88" s="31"/>
      <c r="H88" s="31"/>
      <c r="I88" s="31"/>
      <c r="J88" s="31"/>
      <c r="K88" s="95"/>
      <c r="L88" s="95"/>
      <c r="M88" s="31"/>
      <c r="N88" s="96"/>
      <c r="O88" s="31"/>
      <c r="P88" s="31"/>
      <c r="Q88" s="31"/>
      <c r="R88" s="97"/>
      <c r="T88" s="5"/>
    </row>
    <row r="89" spans="2:26">
      <c r="B89" s="98"/>
      <c r="C89" s="101"/>
      <c r="D89" s="100"/>
      <c r="E89" s="101"/>
      <c r="F89" s="101"/>
      <c r="G89" s="101"/>
      <c r="H89" s="101"/>
      <c r="I89" s="101"/>
      <c r="J89" s="101"/>
      <c r="K89" s="102"/>
      <c r="L89" s="102"/>
      <c r="M89" s="101"/>
      <c r="N89" s="103"/>
      <c r="O89" s="101"/>
      <c r="P89" s="101"/>
      <c r="Q89" s="101"/>
      <c r="R89" s="104"/>
      <c r="T89" s="5"/>
    </row>
    <row r="90" spans="2:26" s="106" customFormat="1" ht="4.5" customHeight="1">
      <c r="B90" s="105"/>
      <c r="C90" s="93"/>
      <c r="D90" s="94"/>
      <c r="E90" s="31"/>
      <c r="F90" s="31"/>
      <c r="G90" s="31"/>
      <c r="H90" s="31"/>
      <c r="I90" s="31"/>
      <c r="J90" s="31"/>
      <c r="K90" s="95"/>
      <c r="L90" s="95"/>
      <c r="M90" s="31"/>
      <c r="N90" s="96"/>
      <c r="O90" s="31"/>
      <c r="P90" s="31"/>
      <c r="Q90" s="31"/>
      <c r="R90" s="96"/>
      <c r="T90" s="107"/>
      <c r="U90" s="107"/>
      <c r="V90" s="1"/>
      <c r="W90" s="108"/>
      <c r="X90" s="1"/>
      <c r="Y90" s="1"/>
      <c r="Z90" s="109"/>
    </row>
    <row r="91" spans="2:26">
      <c r="B91" s="84" t="s">
        <v>131</v>
      </c>
      <c r="C91" s="85">
        <f>+D87</f>
        <v>100</v>
      </c>
      <c r="D91" s="85">
        <v>105.5</v>
      </c>
      <c r="E91" s="86">
        <f>+F87</f>
        <v>925</v>
      </c>
      <c r="F91" s="86">
        <v>1030</v>
      </c>
      <c r="G91" s="85">
        <f>+D91-C91</f>
        <v>5.5</v>
      </c>
      <c r="H91" s="85">
        <f>+F91-E91</f>
        <v>105</v>
      </c>
      <c r="I91" s="87">
        <f>+H91/(G91*1000)</f>
        <v>1.9090909090909092E-2</v>
      </c>
      <c r="J91" s="88">
        <f>+($D91-$C91)/K91/24</f>
        <v>7.6388888888888886E-3</v>
      </c>
      <c r="K91" s="89">
        <v>30</v>
      </c>
      <c r="L91" s="89"/>
      <c r="M91" s="88">
        <f>+M87+J91</f>
        <v>0.14872537499861643</v>
      </c>
      <c r="N91" s="90">
        <f>+J91/$M$95</f>
        <v>4.9512852051450902E-2</v>
      </c>
      <c r="O91" s="88">
        <f>+($D91-$C91)/P91/24</f>
        <v>9.1666666666666667E-3</v>
      </c>
      <c r="P91" s="134">
        <f>+K91-5</f>
        <v>25</v>
      </c>
      <c r="Q91" s="88">
        <f>+Q87+O91</f>
        <v>0.18561946285585099</v>
      </c>
      <c r="R91" s="91">
        <f>+O91/$Q$95</f>
        <v>4.7672011961701094E-2</v>
      </c>
      <c r="T91" s="5">
        <f>+I91*G91</f>
        <v>0.10500000000000001</v>
      </c>
      <c r="U91" s="92">
        <f>+U87+G91</f>
        <v>105.5</v>
      </c>
      <c r="V91" s="186"/>
      <c r="W91" s="187"/>
    </row>
    <row r="92" spans="2:26">
      <c r="B92" s="30" t="s">
        <v>120</v>
      </c>
      <c r="C92" s="31" t="s">
        <v>132</v>
      </c>
      <c r="D92" s="94"/>
      <c r="E92" s="31"/>
      <c r="F92" s="31"/>
      <c r="G92" s="31"/>
      <c r="H92" s="31"/>
      <c r="I92" s="31"/>
      <c r="J92" s="31"/>
      <c r="K92" s="95"/>
      <c r="L92" s="95"/>
      <c r="M92" s="31"/>
      <c r="N92" s="96"/>
      <c r="O92" s="31"/>
      <c r="P92" s="31"/>
      <c r="Q92" s="31"/>
      <c r="R92" s="97"/>
      <c r="T92" s="5"/>
    </row>
    <row r="93" spans="2:26">
      <c r="B93" s="98"/>
      <c r="C93" s="101" t="s">
        <v>133</v>
      </c>
      <c r="D93" s="100"/>
      <c r="E93" s="101"/>
      <c r="F93" s="101"/>
      <c r="G93" s="101"/>
      <c r="H93" s="101"/>
      <c r="I93" s="101"/>
      <c r="J93" s="101"/>
      <c r="K93" s="102"/>
      <c r="L93" s="102"/>
      <c r="M93" s="101"/>
      <c r="N93" s="103"/>
      <c r="O93" s="101"/>
      <c r="P93" s="101"/>
      <c r="Q93" s="101"/>
      <c r="R93" s="104"/>
      <c r="T93" s="5"/>
    </row>
    <row r="94" spans="2:26" s="106" customFormat="1" ht="4.5" customHeight="1">
      <c r="B94" s="105"/>
      <c r="C94" s="93"/>
      <c r="D94" s="94"/>
      <c r="E94" s="31"/>
      <c r="F94" s="31"/>
      <c r="G94" s="31"/>
      <c r="H94" s="31"/>
      <c r="I94" s="31"/>
      <c r="J94" s="31"/>
      <c r="K94" s="95"/>
      <c r="L94" s="95"/>
      <c r="M94" s="31"/>
      <c r="N94" s="96"/>
      <c r="O94" s="31"/>
      <c r="P94" s="31"/>
      <c r="Q94" s="31"/>
      <c r="R94" s="96"/>
      <c r="T94" s="107"/>
      <c r="U94" s="107"/>
      <c r="V94" s="1"/>
      <c r="W94" s="108"/>
      <c r="X94" s="1"/>
      <c r="Y94" s="1"/>
      <c r="Z94" s="109"/>
    </row>
    <row r="95" spans="2:26">
      <c r="B95" s="84" t="s">
        <v>134</v>
      </c>
      <c r="C95" s="85">
        <f>+D91</f>
        <v>105.5</v>
      </c>
      <c r="D95" s="85">
        <v>109.5</v>
      </c>
      <c r="E95" s="86">
        <f>+F91</f>
        <v>1030</v>
      </c>
      <c r="F95" s="86">
        <v>1104</v>
      </c>
      <c r="G95" s="85">
        <f>+D95-C95</f>
        <v>4</v>
      </c>
      <c r="H95" s="85">
        <f>+F95-E95</f>
        <v>74</v>
      </c>
      <c r="I95" s="87">
        <f>+H95/(G95*1000)</f>
        <v>1.8499999999999999E-2</v>
      </c>
      <c r="J95" s="88">
        <f>+($D95-$C95)/K95/24</f>
        <v>5.5555555555555558E-3</v>
      </c>
      <c r="K95" s="89">
        <v>30</v>
      </c>
      <c r="L95" s="89"/>
      <c r="M95" s="88">
        <f>+M91+J95</f>
        <v>0.154280930554172</v>
      </c>
      <c r="N95" s="90">
        <f>+J95/$M$95</f>
        <v>3.600934694650975E-2</v>
      </c>
      <c r="O95" s="88">
        <f>+($D95-$C95)/P95/24</f>
        <v>6.6666666666666671E-3</v>
      </c>
      <c r="P95" s="134">
        <f>+K95-5</f>
        <v>25</v>
      </c>
      <c r="Q95" s="88">
        <f>+Q91+O95</f>
        <v>0.19228612952251764</v>
      </c>
      <c r="R95" s="91">
        <f>+O95/$Q$95</f>
        <v>3.4670554153964431E-2</v>
      </c>
      <c r="T95" s="5">
        <f>+I95*G95</f>
        <v>7.3999999999999996E-2</v>
      </c>
      <c r="U95" s="92">
        <f>+U91+G95</f>
        <v>109.5</v>
      </c>
      <c r="V95" s="186"/>
      <c r="W95" s="187"/>
    </row>
    <row r="96" spans="2:26">
      <c r="B96" s="30" t="s">
        <v>120</v>
      </c>
      <c r="C96" s="31" t="s">
        <v>132</v>
      </c>
      <c r="D96" s="94"/>
      <c r="E96" s="31"/>
      <c r="F96" s="31"/>
      <c r="G96" s="31"/>
      <c r="H96" s="31"/>
      <c r="I96" s="31"/>
      <c r="J96" s="31"/>
      <c r="K96" s="31"/>
      <c r="L96" s="31"/>
      <c r="M96" s="31"/>
      <c r="N96" s="96"/>
      <c r="O96" s="31"/>
      <c r="P96" s="31"/>
      <c r="Q96" s="31"/>
      <c r="R96" s="97"/>
      <c r="T96" s="5"/>
    </row>
    <row r="97" spans="2:20">
      <c r="B97" s="135" t="s">
        <v>135</v>
      </c>
      <c r="C97" s="101" t="s">
        <v>133</v>
      </c>
      <c r="D97" s="100"/>
      <c r="E97" s="101"/>
      <c r="F97" s="101"/>
      <c r="G97" s="101"/>
      <c r="H97" s="101"/>
      <c r="I97" s="101"/>
      <c r="J97" s="101"/>
      <c r="K97" s="101"/>
      <c r="L97" s="101"/>
      <c r="M97" s="101"/>
      <c r="N97" s="103"/>
      <c r="O97" s="101"/>
      <c r="P97" s="101"/>
      <c r="Q97" s="101"/>
      <c r="R97" s="104"/>
      <c r="T97" s="5"/>
    </row>
    <row r="98" spans="2:20">
      <c r="C98" s="77"/>
      <c r="E98" s="77"/>
    </row>
    <row r="99" spans="2:20">
      <c r="C99" s="77"/>
      <c r="E99" s="77"/>
    </row>
    <row r="100" spans="2:20">
      <c r="C100" s="77"/>
    </row>
    <row r="101" spans="2:20">
      <c r="C101" s="77"/>
    </row>
    <row r="102" spans="2:20">
      <c r="C102" s="77"/>
    </row>
    <row r="104" spans="2:20">
      <c r="N104" s="219"/>
    </row>
    <row r="124" spans="2:29">
      <c r="B124" s="219"/>
    </row>
    <row r="127" spans="2:29">
      <c r="N127" s="14"/>
      <c r="P127" s="220"/>
      <c r="Q127" s="14"/>
      <c r="S127" s="221"/>
      <c r="T127" s="221"/>
      <c r="U127" s="222"/>
      <c r="V127" s="221"/>
      <c r="W127" s="221"/>
      <c r="X127" s="14"/>
      <c r="Y127" s="14"/>
      <c r="Z127" s="220"/>
      <c r="AA127" s="220"/>
      <c r="AB127" s="220"/>
      <c r="AC127" s="220"/>
    </row>
    <row r="128" spans="2:29">
      <c r="S128" s="108"/>
      <c r="T128" s="108"/>
      <c r="Z128" s="223"/>
    </row>
    <row r="129" spans="1:23">
      <c r="P129" s="220"/>
      <c r="S129" s="108"/>
      <c r="T129" s="108"/>
      <c r="W129" s="224"/>
    </row>
    <row r="131" spans="1:23" s="225" customFormat="1" ht="89.25" customHeight="1">
      <c r="B131" s="226" t="s">
        <v>136</v>
      </c>
      <c r="C131" s="226"/>
      <c r="D131" s="226"/>
      <c r="E131" s="226"/>
      <c r="F131" s="226"/>
      <c r="G131" s="226"/>
      <c r="H131" s="226"/>
      <c r="I131" s="226"/>
      <c r="J131" s="226"/>
      <c r="K131" s="226"/>
      <c r="L131" s="226"/>
      <c r="M131" s="226"/>
      <c r="N131" s="226"/>
      <c r="O131" s="226"/>
      <c r="P131" s="226"/>
      <c r="Q131" s="227"/>
      <c r="R131" s="227"/>
      <c r="S131" s="227"/>
      <c r="U131" s="228"/>
    </row>
    <row r="133" spans="1:23" customFormat="1" ht="95.25" customHeight="1">
      <c r="A133" s="225"/>
      <c r="B133" s="229" t="s">
        <v>137</v>
      </c>
      <c r="C133" s="229"/>
      <c r="D133" s="229"/>
      <c r="E133" s="229"/>
      <c r="F133" s="229"/>
      <c r="G133" s="229"/>
      <c r="H133" s="229"/>
      <c r="I133" s="229"/>
      <c r="J133" s="229"/>
      <c r="K133" s="229"/>
      <c r="L133" s="229"/>
      <c r="M133" s="229"/>
      <c r="N133" s="229"/>
      <c r="O133" s="229"/>
      <c r="P133" s="229"/>
      <c r="Q133" s="230"/>
      <c r="R133" s="230"/>
      <c r="S133" s="230"/>
      <c r="U133" s="231"/>
    </row>
    <row r="134" spans="1:23" customFormat="1" ht="15">
      <c r="U134" s="231"/>
    </row>
    <row r="135" spans="1:23" customFormat="1" ht="78.75" customHeight="1">
      <c r="B135" s="232" t="s">
        <v>138</v>
      </c>
      <c r="C135" s="232"/>
      <c r="D135" s="232"/>
      <c r="E135" s="232"/>
      <c r="F135" s="232"/>
      <c r="G135" s="232"/>
      <c r="H135" s="232"/>
      <c r="I135" s="232"/>
      <c r="J135" s="232"/>
      <c r="K135" s="232"/>
      <c r="L135" s="232"/>
      <c r="M135" s="232"/>
      <c r="N135" s="232"/>
      <c r="O135" s="232"/>
      <c r="P135" s="232"/>
      <c r="Q135" s="227"/>
      <c r="R135" s="227"/>
      <c r="S135" s="227"/>
      <c r="U135" s="231"/>
    </row>
    <row r="136" spans="1:23" customFormat="1" ht="15">
      <c r="U136" s="231"/>
    </row>
    <row r="137" spans="1:23" customFormat="1" ht="36" customHeight="1">
      <c r="B137" s="232" t="s">
        <v>139</v>
      </c>
      <c r="C137" s="232"/>
      <c r="D137" s="232"/>
      <c r="E137" s="232"/>
      <c r="F137" s="232"/>
      <c r="G137" s="232"/>
      <c r="H137" s="232"/>
      <c r="I137" s="232"/>
      <c r="J137" s="232"/>
      <c r="K137" s="232"/>
      <c r="L137" s="232"/>
      <c r="M137" s="232"/>
      <c r="N137" s="232"/>
      <c r="O137" s="232"/>
      <c r="P137" s="232"/>
      <c r="Q137" s="233"/>
      <c r="R137" s="233"/>
      <c r="S137" s="233"/>
      <c r="U137" s="231"/>
    </row>
    <row r="138" spans="1:23" customFormat="1" ht="15">
      <c r="U138" s="231"/>
    </row>
    <row r="141" spans="1:23">
      <c r="B141" s="234"/>
    </row>
    <row r="167" spans="2:2">
      <c r="B167" s="234"/>
    </row>
    <row r="169" spans="2:2">
      <c r="B169" s="220" t="s">
        <v>140</v>
      </c>
    </row>
  </sheetData>
  <mergeCells count="6">
    <mergeCell ref="V24:W24"/>
    <mergeCell ref="Y24:Z24"/>
    <mergeCell ref="B131:P131"/>
    <mergeCell ref="B133:P133"/>
    <mergeCell ref="B135:P135"/>
    <mergeCell ref="B137:P137"/>
  </mergeCells>
  <hyperlinks>
    <hyperlink ref="F3" r:id="rId1"/>
    <hyperlink ref="F6" r:id="rId2"/>
  </hyperlinks>
  <pageMargins left="0.7" right="0.7" top="0.75" bottom="0.75" header="0.3" footer="0.3"/>
  <pageSetup paperSize="9" orientation="portrait" horizontalDpi="300" verticalDpi="300" r:id="rId3"/>
  <drawing r:id="rId4"/>
</worksheet>
</file>

<file path=xl/worksheets/sheet2.xml><?xml version="1.0" encoding="utf-8"?>
<worksheet xmlns="http://schemas.openxmlformats.org/spreadsheetml/2006/main" xmlns:r="http://schemas.openxmlformats.org/officeDocument/2006/relationships">
  <dimension ref="A2:AC145"/>
  <sheetViews>
    <sheetView showGridLines="0" topLeftCell="G71" zoomScaleNormal="100" workbookViewId="0">
      <selection activeCell="O170" sqref="O170"/>
    </sheetView>
  </sheetViews>
  <sheetFormatPr defaultRowHeight="11.25"/>
  <cols>
    <col min="1" max="1" width="9.140625" style="1"/>
    <col min="2" max="2" width="30.7109375" style="1" customWidth="1"/>
    <col min="3" max="3" width="10.140625" style="1" customWidth="1"/>
    <col min="4" max="10" width="7.7109375" style="1" customWidth="1"/>
    <col min="11" max="11" width="8.42578125" style="1" customWidth="1"/>
    <col min="12" max="12" width="1.28515625" style="1" customWidth="1"/>
    <col min="13" max="13" width="7.7109375" style="1" customWidth="1"/>
    <col min="14" max="14" width="9.42578125" style="1" customWidth="1"/>
    <col min="15" max="16" width="7.7109375" style="1" customWidth="1"/>
    <col min="17" max="17" width="7.5703125" style="1" customWidth="1"/>
    <col min="18" max="18" width="8.140625" style="5" customWidth="1"/>
    <col min="19" max="20" width="9.140625" style="1"/>
    <col min="21" max="21" width="9.140625" style="5"/>
    <col min="22" max="24" width="9.140625" style="1"/>
    <col min="25" max="25" width="9.28515625" style="1" customWidth="1"/>
    <col min="26" max="16384" width="9.140625" style="1"/>
  </cols>
  <sheetData>
    <row r="2" spans="2:18">
      <c r="C2" s="2" t="s">
        <v>141</v>
      </c>
      <c r="D2" s="3"/>
      <c r="F2" s="4" t="s">
        <v>142</v>
      </c>
    </row>
    <row r="3" spans="2:18">
      <c r="B3" s="6" t="s">
        <v>2</v>
      </c>
      <c r="C3" s="7" t="s">
        <v>6</v>
      </c>
      <c r="D3" s="8"/>
      <c r="F3" s="9" t="s">
        <v>143</v>
      </c>
    </row>
    <row r="4" spans="2:18">
      <c r="B4" s="10" t="s">
        <v>5</v>
      </c>
      <c r="C4" s="11" t="s">
        <v>144</v>
      </c>
      <c r="D4" s="12"/>
      <c r="F4" s="13"/>
      <c r="G4" s="14"/>
      <c r="H4" s="14"/>
    </row>
    <row r="5" spans="2:18">
      <c r="B5" s="15" t="s">
        <v>7</v>
      </c>
      <c r="C5" s="16">
        <v>100</v>
      </c>
      <c r="D5" s="17"/>
      <c r="F5" s="4" t="s">
        <v>145</v>
      </c>
    </row>
    <row r="6" spans="2:18">
      <c r="B6" s="10" t="s">
        <v>9</v>
      </c>
      <c r="C6" s="11" t="s">
        <v>146</v>
      </c>
      <c r="D6" s="12"/>
      <c r="F6" s="9" t="s">
        <v>147</v>
      </c>
    </row>
    <row r="7" spans="2:18">
      <c r="B7" s="6" t="s">
        <v>12</v>
      </c>
      <c r="C7" s="7" t="s">
        <v>148</v>
      </c>
      <c r="D7" s="8"/>
    </row>
    <row r="8" spans="2:18">
      <c r="B8" s="15" t="s">
        <v>14</v>
      </c>
      <c r="C8" s="16" t="s">
        <v>149</v>
      </c>
      <c r="D8" s="17"/>
      <c r="F8" s="4" t="s">
        <v>150</v>
      </c>
    </row>
    <row r="9" spans="2:18">
      <c r="B9" s="10" t="s">
        <v>16</v>
      </c>
      <c r="C9" s="18" t="s">
        <v>151</v>
      </c>
      <c r="D9" s="12"/>
      <c r="F9" s="9" t="s">
        <v>152</v>
      </c>
    </row>
    <row r="10" spans="2:18">
      <c r="B10" s="6" t="s">
        <v>18</v>
      </c>
      <c r="C10" s="19">
        <f>+(1800-1100)/100000</f>
        <v>7.0000000000000001E-3</v>
      </c>
      <c r="D10" s="8"/>
      <c r="E10" s="13"/>
      <c r="H10" s="20" t="s">
        <v>19</v>
      </c>
      <c r="I10" s="20" t="s">
        <v>20</v>
      </c>
      <c r="J10" s="20" t="s">
        <v>21</v>
      </c>
      <c r="K10" s="20" t="s">
        <v>22</v>
      </c>
      <c r="L10" s="20"/>
      <c r="O10" s="20" t="s">
        <v>19</v>
      </c>
      <c r="P10" s="20" t="s">
        <v>20</v>
      </c>
      <c r="Q10" s="20" t="s">
        <v>21</v>
      </c>
      <c r="R10" s="20" t="s">
        <v>22</v>
      </c>
    </row>
    <row r="11" spans="2:18">
      <c r="B11" s="10" t="s">
        <v>23</v>
      </c>
      <c r="C11" s="21">
        <f>+SUMPRODUCT(G19:G73,I19:I73)/SUM(G19:G73)</f>
        <v>6.9600000000000009E-3</v>
      </c>
      <c r="D11" s="12"/>
      <c r="F11" s="22" t="s">
        <v>24</v>
      </c>
      <c r="G11" s="23"/>
      <c r="H11" s="235">
        <f>+SUMIFS(G19:G73,I19:I73,"&gt;=0,0%",I19:I73,"&lt;2,0%")</f>
        <v>2</v>
      </c>
      <c r="I11" s="25">
        <f>+H11/$C$5</f>
        <v>0.02</v>
      </c>
      <c r="J11" s="26">
        <f>+SUMIFS(J19:J73,I19:I73,"&gt;=0,0%",I19:I73,"&lt;2,0%")</f>
        <v>2.5252525252525255E-3</v>
      </c>
      <c r="K11" s="27">
        <f>+J11/$M$71</f>
        <v>1.6087298852415891E-2</v>
      </c>
      <c r="L11" s="28"/>
      <c r="M11" s="22" t="s">
        <v>25</v>
      </c>
      <c r="N11" s="23"/>
      <c r="O11" s="235">
        <f>+SUMIFS(G19:G73,I19:I73,"&lt;=0,0%",I19:I73,"&gt;-2,0%")</f>
        <v>10</v>
      </c>
      <c r="P11" s="25">
        <f>+O11/$C$5</f>
        <v>0.1</v>
      </c>
      <c r="Q11" s="26">
        <f>+SUMIFS(J19:J73,I19:I73,"&lt;=0,0%",I19:I73,"&gt;-2,0%")</f>
        <v>1.1857445680975093E-2</v>
      </c>
      <c r="R11" s="27">
        <f>+Q11/$M$71</f>
        <v>7.5538691829269214E-2</v>
      </c>
    </row>
    <row r="12" spans="2:18">
      <c r="B12" s="15" t="s">
        <v>26</v>
      </c>
      <c r="C12" s="29">
        <f>+SUMIF(T19:T73,"&gt;0",T19:T73)/(SUMIF(I19:I73,"&gt;0",G19:G73))</f>
        <v>5.1285714285714282E-2</v>
      </c>
      <c r="D12" s="17"/>
      <c r="F12" s="30" t="s">
        <v>27</v>
      </c>
      <c r="G12" s="31"/>
      <c r="H12" s="236">
        <f>+SUMIFS(G19:G73,I19:I73,"&gt;=2,0%",I19:I73,"&lt;3,0%")</f>
        <v>7</v>
      </c>
      <c r="I12" s="28">
        <f t="shared" ref="I12:I15" si="0">+H12/$C$5</f>
        <v>7.0000000000000007E-2</v>
      </c>
      <c r="J12" s="33">
        <f>+SUMIFS(J19:J73,I19:I73,"&gt;=2,0%",I19:I73,"&lt;3,0%")</f>
        <v>1.0416666666666666E-2</v>
      </c>
      <c r="K12" s="34">
        <f t="shared" ref="K12:K15" si="1">+J12/$M$71</f>
        <v>6.6360107766215551E-2</v>
      </c>
      <c r="L12" s="28"/>
      <c r="M12" s="30" t="s">
        <v>28</v>
      </c>
      <c r="N12" s="31"/>
      <c r="O12" s="236">
        <f>+SUMIFS(G19:G73,I19:I73,"&lt;=-2,0%",I19:I73,"&gt;-3,0%")</f>
        <v>0</v>
      </c>
      <c r="P12" s="28">
        <f t="shared" ref="P12:P15" si="2">+O12/$C$5</f>
        <v>0</v>
      </c>
      <c r="Q12" s="33">
        <f>+SUMIFS(J19:J73,I19:I73,"&lt;=-2,0%",I19:I73,"&gt;-3,0%")</f>
        <v>0</v>
      </c>
      <c r="R12" s="34">
        <f t="shared" ref="R12:R15" si="3">+Q12/$M$71</f>
        <v>0</v>
      </c>
    </row>
    <row r="13" spans="2:18">
      <c r="B13" s="10" t="s">
        <v>29</v>
      </c>
      <c r="C13" s="35">
        <f>+SUMIF(I19:I73,"&gt;0",G19:G73)</f>
        <v>56</v>
      </c>
      <c r="D13" s="12"/>
      <c r="F13" s="36" t="s">
        <v>30</v>
      </c>
      <c r="G13" s="37"/>
      <c r="H13" s="237">
        <f>+SUMIFS(G19:G73,I19:I73,"&gt;=3,0%",I19:I73,"&lt;5,0%")</f>
        <v>20.5</v>
      </c>
      <c r="I13" s="39">
        <f t="shared" si="0"/>
        <v>0.20499999999999999</v>
      </c>
      <c r="J13" s="40">
        <f>+SUMIFS(J19:J73,I19:I73,"&gt;=3,0%",I19:I73,"&lt;5,0%")</f>
        <v>3.5499698067632854E-2</v>
      </c>
      <c r="K13" s="41">
        <f t="shared" si="1"/>
        <v>0.2261533237858781</v>
      </c>
      <c r="L13" s="28"/>
      <c r="M13" s="42" t="s">
        <v>31</v>
      </c>
      <c r="N13" s="43"/>
      <c r="O13" s="238">
        <f>+SUMIFS(G19:G73,I19:I73,"&lt;=-3,0%",I19:I73,"&gt;-5,0%")</f>
        <v>6.5</v>
      </c>
      <c r="P13" s="45">
        <f t="shared" si="2"/>
        <v>6.5000000000000002E-2</v>
      </c>
      <c r="Q13" s="46">
        <f>+SUMIFS(J19:J73,I19:I73,"&lt;=-3,0%",I19:I73,"&gt;-5,0%")</f>
        <v>6.2984496124031007E-3</v>
      </c>
      <c r="R13" s="47">
        <f t="shared" si="3"/>
        <v>4.012471632375824E-2</v>
      </c>
    </row>
    <row r="14" spans="2:18">
      <c r="B14" s="15" t="s">
        <v>32</v>
      </c>
      <c r="C14" s="29">
        <f>+SUMIF(T19:T73,"&lt;0",T19:T73)/(SUMIF(I19:I73,"&lt;0",G19:G73))</f>
        <v>-4.9454545454545459E-2</v>
      </c>
      <c r="D14" s="17"/>
      <c r="F14" s="48" t="s">
        <v>33</v>
      </c>
      <c r="G14" s="49"/>
      <c r="H14" s="239">
        <f>+SUMIFS(G19:G73,I19:I73,"&gt;=5%",I19:I73,"&lt;7%")</f>
        <v>16</v>
      </c>
      <c r="I14" s="51">
        <f t="shared" si="0"/>
        <v>0.16</v>
      </c>
      <c r="J14" s="52">
        <f>+SUMIFS(J19:J73,I19:I73,"&gt;=5%",I19:I73,"&lt;7%")</f>
        <v>3.5865494219182545E-2</v>
      </c>
      <c r="K14" s="53">
        <f t="shared" si="1"/>
        <v>0.2284836539014593</v>
      </c>
      <c r="L14" s="28"/>
      <c r="M14" s="54" t="s">
        <v>34</v>
      </c>
      <c r="N14" s="55"/>
      <c r="O14" s="240">
        <f>+SUMIFS(G19:G73,I19:I73,"&lt;=-5%",I19:I73,"&gt;-7%")</f>
        <v>27.5</v>
      </c>
      <c r="P14" s="57">
        <f t="shared" si="2"/>
        <v>0.27500000000000002</v>
      </c>
      <c r="Q14" s="58">
        <f>+SUMIFS(J19:J73,I19:I73,"&lt;=-5%",I19:I73,"&gt;-7%")</f>
        <v>2.4148566784869978E-2</v>
      </c>
      <c r="R14" s="59">
        <f t="shared" si="3"/>
        <v>0.153840143447388</v>
      </c>
    </row>
    <row r="15" spans="2:18">
      <c r="B15" s="10" t="s">
        <v>35</v>
      </c>
      <c r="C15" s="35">
        <f>+SUMIF(I19:I73,"&lt;0",G19:G73)</f>
        <v>44</v>
      </c>
      <c r="D15" s="12"/>
      <c r="F15" s="60" t="s">
        <v>36</v>
      </c>
      <c r="G15" s="61"/>
      <c r="H15" s="241">
        <f>+SUMIFS(G19:G73,I19:I73,"&gt;=7%")</f>
        <v>10.5</v>
      </c>
      <c r="I15" s="63">
        <f t="shared" si="0"/>
        <v>0.105</v>
      </c>
      <c r="J15" s="64">
        <f>+SUMIFS(J19:J73,I19:I73,"&gt;=7%")</f>
        <v>3.0360243055555555E-2</v>
      </c>
      <c r="K15" s="65">
        <f t="shared" si="1"/>
        <v>0.19341206409361575</v>
      </c>
      <c r="L15" s="66"/>
      <c r="M15" s="67" t="s">
        <v>37</v>
      </c>
      <c r="N15" s="68"/>
      <c r="O15" s="242">
        <f>+SUMIFS(G19:G73,I19:I73,"&lt;=-7%")</f>
        <v>0</v>
      </c>
      <c r="P15" s="70">
        <f t="shared" si="2"/>
        <v>0</v>
      </c>
      <c r="Q15" s="71">
        <f>+SUMIFS(J19:J73,I19:I73,"&lt;=-7%")</f>
        <v>0</v>
      </c>
      <c r="R15" s="72">
        <f t="shared" si="3"/>
        <v>0</v>
      </c>
    </row>
    <row r="16" spans="2:18">
      <c r="H16" s="243">
        <f>+SUM(H11:H15)</f>
        <v>56</v>
      </c>
      <c r="I16" s="74">
        <f>+SUM(I11:I15)</f>
        <v>0.55999999999999994</v>
      </c>
      <c r="J16" s="75">
        <f>+SUM(J11:J15)</f>
        <v>0.11466735453429015</v>
      </c>
      <c r="K16" s="74">
        <f>+SUM(K11:K15)</f>
        <v>0.73049644839958461</v>
      </c>
      <c r="L16" s="76"/>
      <c r="O16" s="243">
        <f>+SUM(O11:O15)</f>
        <v>44</v>
      </c>
      <c r="P16" s="74">
        <f>+SUM(P11:P15)</f>
        <v>0.44000000000000006</v>
      </c>
      <c r="Q16" s="75">
        <f>+SUM(Q11:Q15)</f>
        <v>4.2304462078248173E-2</v>
      </c>
      <c r="R16" s="74">
        <f>+SUM(R11:R15)</f>
        <v>0.26950355160041545</v>
      </c>
    </row>
    <row r="17" spans="2:26">
      <c r="C17" s="77"/>
    </row>
    <row r="18" spans="2:26">
      <c r="B18" s="78" t="s">
        <v>38</v>
      </c>
      <c r="C18" s="78" t="s">
        <v>39</v>
      </c>
      <c r="D18" s="78" t="s">
        <v>40</v>
      </c>
      <c r="E18" s="78" t="s">
        <v>41</v>
      </c>
      <c r="F18" s="78" t="s">
        <v>42</v>
      </c>
      <c r="G18" s="79" t="s">
        <v>43</v>
      </c>
      <c r="H18" s="79" t="s">
        <v>44</v>
      </c>
      <c r="I18" s="80" t="s">
        <v>45</v>
      </c>
      <c r="J18" s="81" t="s">
        <v>46</v>
      </c>
      <c r="K18" s="82" t="s">
        <v>47</v>
      </c>
      <c r="L18" s="82"/>
      <c r="M18" s="82" t="s">
        <v>48</v>
      </c>
      <c r="N18" s="83" t="s">
        <v>22</v>
      </c>
      <c r="O18" s="81" t="s">
        <v>49</v>
      </c>
      <c r="P18" s="82" t="s">
        <v>50</v>
      </c>
      <c r="Q18" s="82" t="s">
        <v>51</v>
      </c>
      <c r="R18" s="83" t="s">
        <v>22</v>
      </c>
      <c r="T18" s="5"/>
    </row>
    <row r="19" spans="2:26">
      <c r="B19" s="84" t="s">
        <v>153</v>
      </c>
      <c r="C19" s="85">
        <v>0</v>
      </c>
      <c r="D19" s="85">
        <v>4</v>
      </c>
      <c r="E19" s="86">
        <v>1104</v>
      </c>
      <c r="F19" s="86">
        <v>1030</v>
      </c>
      <c r="G19" s="85">
        <f>+D19-C19</f>
        <v>4</v>
      </c>
      <c r="H19" s="85">
        <f>+F19-E19</f>
        <v>-74</v>
      </c>
      <c r="I19" s="87">
        <f>+H19/(G19*1000)</f>
        <v>-1.8499999999999999E-2</v>
      </c>
      <c r="J19" s="88">
        <f>+($D19-$C19)/K19/24</f>
        <v>4.5045045045045045E-3</v>
      </c>
      <c r="K19" s="89">
        <v>37</v>
      </c>
      <c r="L19" s="89"/>
      <c r="M19" s="88">
        <f>+J19</f>
        <v>4.5045045045045045E-3</v>
      </c>
      <c r="N19" s="90">
        <f>+J19/$M$71</f>
        <v>2.8696262817822941E-2</v>
      </c>
      <c r="O19" s="88">
        <f>+($D19-$C19)/P19/24</f>
        <v>5.208333333333333E-3</v>
      </c>
      <c r="P19" s="89">
        <f>+K19-5</f>
        <v>32</v>
      </c>
      <c r="Q19" s="88">
        <f>+O19</f>
        <v>5.208333333333333E-3</v>
      </c>
      <c r="R19" s="91">
        <f>+O19/$Q$71</f>
        <v>2.5482152956490162E-2</v>
      </c>
      <c r="T19" s="5">
        <f>+I19*G19</f>
        <v>-7.3999999999999996E-2</v>
      </c>
      <c r="U19" s="92">
        <f>+G19</f>
        <v>4</v>
      </c>
      <c r="V19" s="186"/>
      <c r="W19" s="187"/>
    </row>
    <row r="20" spans="2:26">
      <c r="B20" s="30" t="s">
        <v>154</v>
      </c>
      <c r="C20" s="93" t="s">
        <v>155</v>
      </c>
      <c r="D20" s="94"/>
      <c r="E20" s="31"/>
      <c r="F20" s="31"/>
      <c r="G20" s="31"/>
      <c r="H20" s="31"/>
      <c r="I20" s="31"/>
      <c r="J20" s="31"/>
      <c r="K20" s="95"/>
      <c r="L20" s="95"/>
      <c r="M20" s="31"/>
      <c r="N20" s="96"/>
      <c r="O20" s="31"/>
      <c r="P20" s="31"/>
      <c r="Q20" s="31"/>
      <c r="R20" s="97"/>
      <c r="T20" s="5"/>
      <c r="V20" s="124" t="s">
        <v>59</v>
      </c>
      <c r="W20" s="125"/>
      <c r="Y20" s="124" t="s">
        <v>60</v>
      </c>
      <c r="Z20" s="125"/>
    </row>
    <row r="21" spans="2:26">
      <c r="B21" s="135" t="s">
        <v>75</v>
      </c>
      <c r="C21" s="99" t="s">
        <v>55</v>
      </c>
      <c r="D21" s="100"/>
      <c r="E21" s="101"/>
      <c r="F21" s="101"/>
      <c r="G21" s="101"/>
      <c r="H21" s="101"/>
      <c r="I21" s="101"/>
      <c r="J21" s="101"/>
      <c r="K21" s="102"/>
      <c r="L21" s="102"/>
      <c r="M21" s="101"/>
      <c r="N21" s="103"/>
      <c r="O21" s="101"/>
      <c r="P21" s="101"/>
      <c r="Q21" s="101"/>
      <c r="R21" s="104"/>
      <c r="T21" s="5"/>
      <c r="V21" s="1" t="s">
        <v>62</v>
      </c>
      <c r="W21" s="108">
        <v>34</v>
      </c>
      <c r="Y21" s="1" t="s">
        <v>62</v>
      </c>
      <c r="Z21" s="108">
        <v>34</v>
      </c>
    </row>
    <row r="22" spans="2:26" s="106" customFormat="1" ht="4.5" customHeight="1">
      <c r="B22" s="105"/>
      <c r="C22" s="93"/>
      <c r="D22" s="94"/>
      <c r="E22" s="31"/>
      <c r="F22" s="31"/>
      <c r="G22" s="31"/>
      <c r="H22" s="31"/>
      <c r="I22" s="31"/>
      <c r="J22" s="31"/>
      <c r="K22" s="95"/>
      <c r="L22" s="95"/>
      <c r="M22" s="31"/>
      <c r="N22" s="96"/>
      <c r="O22" s="31"/>
      <c r="P22" s="31"/>
      <c r="Q22" s="31"/>
      <c r="R22" s="96"/>
      <c r="T22" s="107"/>
      <c r="U22" s="107"/>
      <c r="W22" s="133"/>
      <c r="Z22" s="133"/>
    </row>
    <row r="23" spans="2:26">
      <c r="B23" s="84" t="s">
        <v>156</v>
      </c>
      <c r="C23" s="85">
        <f>+D19</f>
        <v>4</v>
      </c>
      <c r="D23" s="85">
        <v>10</v>
      </c>
      <c r="E23" s="86">
        <f>+F19</f>
        <v>1030</v>
      </c>
      <c r="F23" s="86">
        <v>1000</v>
      </c>
      <c r="G23" s="85">
        <f>+D23-C23</f>
        <v>6</v>
      </c>
      <c r="H23" s="85">
        <f>+F23-E23</f>
        <v>-30</v>
      </c>
      <c r="I23" s="87">
        <f>+H23/(G23*1000)</f>
        <v>-5.0000000000000001E-3</v>
      </c>
      <c r="J23" s="88">
        <f>+($D23-$C23)/K23/24</f>
        <v>7.352941176470589E-3</v>
      </c>
      <c r="K23" s="89">
        <v>34</v>
      </c>
      <c r="L23" s="89"/>
      <c r="M23" s="88">
        <f>+M19+J23</f>
        <v>1.1857445680975093E-2</v>
      </c>
      <c r="N23" s="90">
        <f>+J23/$M$71</f>
        <v>4.6842429011446272E-2</v>
      </c>
      <c r="O23" s="88">
        <f>+($D23-$C23)/P23/24</f>
        <v>8.6206896551724137E-3</v>
      </c>
      <c r="P23" s="134">
        <f>+K23-5</f>
        <v>29</v>
      </c>
      <c r="Q23" s="88">
        <f>+Q19+O23</f>
        <v>1.3829022988505746E-2</v>
      </c>
      <c r="R23" s="91">
        <f>+O23/$Q$71</f>
        <v>4.2177356617638891E-2</v>
      </c>
      <c r="T23" s="5">
        <f>+I23*G23</f>
        <v>-0.03</v>
      </c>
      <c r="U23" s="92">
        <f>+U19+G23</f>
        <v>10</v>
      </c>
      <c r="V23" s="1" t="s">
        <v>64</v>
      </c>
      <c r="W23" s="108">
        <f>+W21-1.25</f>
        <v>32.75</v>
      </c>
      <c r="Y23" s="1" t="s">
        <v>64</v>
      </c>
      <c r="Z23" s="108">
        <f>+Z21+1</f>
        <v>35</v>
      </c>
    </row>
    <row r="24" spans="2:26">
      <c r="B24" s="30" t="s">
        <v>157</v>
      </c>
      <c r="C24" s="93" t="s">
        <v>158</v>
      </c>
      <c r="D24" s="94"/>
      <c r="E24" s="31"/>
      <c r="F24" s="31"/>
      <c r="G24" s="31"/>
      <c r="H24" s="31"/>
      <c r="I24" s="31"/>
      <c r="J24" s="31"/>
      <c r="K24" s="95"/>
      <c r="L24" s="95"/>
      <c r="M24" s="31"/>
      <c r="N24" s="96"/>
      <c r="O24" s="31"/>
      <c r="P24" s="31"/>
      <c r="Q24" s="31"/>
      <c r="R24" s="97"/>
      <c r="T24" s="5"/>
      <c r="V24" s="1" t="s">
        <v>67</v>
      </c>
      <c r="W24" s="108">
        <f>+W23-1.25</f>
        <v>31.5</v>
      </c>
      <c r="Y24" s="1" t="s">
        <v>67</v>
      </c>
      <c r="Z24" s="108">
        <f>+Z23+1</f>
        <v>36</v>
      </c>
    </row>
    <row r="25" spans="2:26">
      <c r="B25" s="98"/>
      <c r="C25" s="99" t="s">
        <v>55</v>
      </c>
      <c r="D25" s="100"/>
      <c r="E25" s="101"/>
      <c r="F25" s="101"/>
      <c r="G25" s="101"/>
      <c r="H25" s="101"/>
      <c r="I25" s="101"/>
      <c r="J25" s="101"/>
      <c r="K25" s="102"/>
      <c r="L25" s="102"/>
      <c r="M25" s="101"/>
      <c r="N25" s="103"/>
      <c r="O25" s="101"/>
      <c r="P25" s="101"/>
      <c r="Q25" s="101"/>
      <c r="R25" s="104"/>
      <c r="T25" s="5"/>
      <c r="V25" s="1" t="s">
        <v>69</v>
      </c>
      <c r="W25" s="108">
        <f>+W24-1.25</f>
        <v>30.25</v>
      </c>
      <c r="Y25" s="1" t="s">
        <v>69</v>
      </c>
      <c r="Z25" s="108">
        <f>+Z24+1</f>
        <v>37</v>
      </c>
    </row>
    <row r="26" spans="2:26" s="106" customFormat="1" ht="4.5" customHeight="1">
      <c r="B26" s="105"/>
      <c r="C26" s="93"/>
      <c r="D26" s="94"/>
      <c r="E26" s="31"/>
      <c r="F26" s="31"/>
      <c r="G26" s="31"/>
      <c r="H26" s="31"/>
      <c r="I26" s="31"/>
      <c r="J26" s="31"/>
      <c r="K26" s="95"/>
      <c r="L26" s="95"/>
      <c r="M26" s="31"/>
      <c r="N26" s="96"/>
      <c r="O26" s="31"/>
      <c r="P26" s="31"/>
      <c r="Q26" s="31"/>
      <c r="R26" s="96"/>
      <c r="T26" s="107"/>
      <c r="U26" s="107"/>
      <c r="W26" s="133"/>
      <c r="Z26" s="133"/>
    </row>
    <row r="27" spans="2:26">
      <c r="B27" s="136" t="s">
        <v>159</v>
      </c>
      <c r="C27" s="137">
        <f>+D23</f>
        <v>10</v>
      </c>
      <c r="D27" s="137">
        <v>13</v>
      </c>
      <c r="E27" s="138">
        <f>+F23</f>
        <v>1000</v>
      </c>
      <c r="F27" s="138">
        <v>1150</v>
      </c>
      <c r="G27" s="137">
        <f>+D27-C27</f>
        <v>3</v>
      </c>
      <c r="H27" s="137">
        <f>+F27-E27</f>
        <v>150</v>
      </c>
      <c r="I27" s="139">
        <f>+H27/(G27*1000)</f>
        <v>0.05</v>
      </c>
      <c r="J27" s="140">
        <f>+($D27-$C27)/K27/24</f>
        <v>5.434782608695652E-3</v>
      </c>
      <c r="K27" s="141">
        <v>23</v>
      </c>
      <c r="L27" s="141"/>
      <c r="M27" s="140">
        <f>+M23+J27</f>
        <v>1.7292228289670745E-2</v>
      </c>
      <c r="N27" s="142">
        <f>+J27/$M$71</f>
        <v>3.4622664921503767E-2</v>
      </c>
      <c r="O27" s="140">
        <f>+($D27-$C27)/P27/24</f>
        <v>6.9444444444444441E-3</v>
      </c>
      <c r="P27" s="143">
        <f>+K27-5</f>
        <v>18</v>
      </c>
      <c r="Q27" s="140">
        <f>+Q23+O27</f>
        <v>2.077346743295019E-2</v>
      </c>
      <c r="R27" s="144">
        <f>+O27/$Q$71</f>
        <v>3.3976203941986881E-2</v>
      </c>
      <c r="T27" s="5">
        <f>+I27*G27</f>
        <v>0.15000000000000002</v>
      </c>
      <c r="U27" s="92">
        <f>+U23+G27</f>
        <v>13</v>
      </c>
      <c r="V27" s="1" t="s">
        <v>71</v>
      </c>
      <c r="W27" s="108">
        <f>+W25-1.25</f>
        <v>29</v>
      </c>
      <c r="Y27" s="1" t="s">
        <v>71</v>
      </c>
      <c r="Z27" s="108">
        <f>+Z25+1</f>
        <v>38</v>
      </c>
    </row>
    <row r="28" spans="2:26">
      <c r="B28" s="48" t="s">
        <v>160</v>
      </c>
      <c r="C28" s="244" t="s">
        <v>161</v>
      </c>
      <c r="D28" s="245"/>
      <c r="E28" s="49"/>
      <c r="F28" s="49"/>
      <c r="G28" s="49"/>
      <c r="H28" s="49"/>
      <c r="I28" s="49"/>
      <c r="J28" s="49"/>
      <c r="K28" s="147"/>
      <c r="L28" s="147"/>
      <c r="M28" s="49"/>
      <c r="N28" s="148"/>
      <c r="O28" s="49"/>
      <c r="P28" s="49"/>
      <c r="Q28" s="49"/>
      <c r="R28" s="149"/>
      <c r="T28" s="5"/>
      <c r="V28" s="1" t="s">
        <v>74</v>
      </c>
      <c r="W28" s="108">
        <f>+W27-1.25</f>
        <v>27.75</v>
      </c>
      <c r="Y28" s="1" t="s">
        <v>74</v>
      </c>
      <c r="Z28" s="108">
        <f>+Z27+1</f>
        <v>39</v>
      </c>
    </row>
    <row r="29" spans="2:26">
      <c r="B29" s="150"/>
      <c r="C29" s="246" t="s">
        <v>162</v>
      </c>
      <c r="D29" s="247"/>
      <c r="E29" s="153"/>
      <c r="F29" s="153"/>
      <c r="G29" s="153"/>
      <c r="H29" s="153"/>
      <c r="I29" s="153"/>
      <c r="J29" s="153"/>
      <c r="K29" s="154"/>
      <c r="L29" s="154"/>
      <c r="M29" s="153"/>
      <c r="N29" s="155"/>
      <c r="O29" s="153"/>
      <c r="P29" s="153"/>
      <c r="Q29" s="153"/>
      <c r="R29" s="156"/>
      <c r="T29" s="5"/>
      <c r="V29" s="1" t="s">
        <v>77</v>
      </c>
      <c r="W29" s="108">
        <f>+W28-1.25</f>
        <v>26.5</v>
      </c>
      <c r="Y29" s="1" t="s">
        <v>77</v>
      </c>
      <c r="Z29" s="108">
        <f>+Z28+1</f>
        <v>40</v>
      </c>
    </row>
    <row r="30" spans="2:26" s="106" customFormat="1" ht="4.5" customHeight="1">
      <c r="B30" s="105"/>
      <c r="C30" s="93"/>
      <c r="D30" s="94"/>
      <c r="E30" s="31"/>
      <c r="F30" s="31"/>
      <c r="G30" s="31"/>
      <c r="H30" s="31"/>
      <c r="I30" s="31"/>
      <c r="J30" s="31"/>
      <c r="K30" s="95"/>
      <c r="L30" s="95"/>
      <c r="M30" s="31"/>
      <c r="N30" s="96"/>
      <c r="O30" s="31"/>
      <c r="P30" s="31"/>
      <c r="Q30" s="31"/>
      <c r="R30" s="96"/>
      <c r="T30" s="107"/>
      <c r="U30" s="107"/>
      <c r="W30" s="133"/>
      <c r="Z30" s="133"/>
    </row>
    <row r="31" spans="2:26">
      <c r="B31" s="110" t="s">
        <v>163</v>
      </c>
      <c r="C31" s="111">
        <f>+D27</f>
        <v>13</v>
      </c>
      <c r="D31" s="111">
        <v>15.5</v>
      </c>
      <c r="E31" s="112">
        <f>+F27</f>
        <v>1150</v>
      </c>
      <c r="F31" s="112">
        <v>1250</v>
      </c>
      <c r="G31" s="111">
        <f>+D31-C31</f>
        <v>2.5</v>
      </c>
      <c r="H31" s="111">
        <f>+F31-E31</f>
        <v>100</v>
      </c>
      <c r="I31" s="113">
        <f>+H31/(G31*1000)</f>
        <v>0.04</v>
      </c>
      <c r="J31" s="114">
        <f>+($D31-$C31)/K31/24</f>
        <v>4.340277777777778E-3</v>
      </c>
      <c r="K31" s="115">
        <v>24</v>
      </c>
      <c r="L31" s="115"/>
      <c r="M31" s="114">
        <f>+M27+J31</f>
        <v>2.1632506067448522E-2</v>
      </c>
      <c r="N31" s="116">
        <f>+J31/$M$71</f>
        <v>2.7650044902589814E-2</v>
      </c>
      <c r="O31" s="114">
        <f>+($D31-$C31)/P31/24</f>
        <v>5.4824561403508769E-3</v>
      </c>
      <c r="P31" s="117">
        <f>+K31-5</f>
        <v>19</v>
      </c>
      <c r="Q31" s="114">
        <f>+Q27+O31</f>
        <v>2.6255923573301067E-2</v>
      </c>
      <c r="R31" s="118">
        <f>+O31/$Q$71</f>
        <v>2.6823318901568593E-2</v>
      </c>
      <c r="T31" s="5">
        <f>+I31*G31</f>
        <v>0.1</v>
      </c>
      <c r="U31" s="92">
        <f>+U27+G31</f>
        <v>15.5</v>
      </c>
      <c r="V31" s="1" t="s">
        <v>79</v>
      </c>
      <c r="W31" s="108">
        <f>+W29-1.25</f>
        <v>25.25</v>
      </c>
      <c r="Y31" s="1" t="s">
        <v>79</v>
      </c>
      <c r="Z31" s="108">
        <f>+Z29+1</f>
        <v>41</v>
      </c>
    </row>
    <row r="32" spans="2:26">
      <c r="B32" s="36" t="s">
        <v>164</v>
      </c>
      <c r="C32" s="119" t="s">
        <v>165</v>
      </c>
      <c r="D32" s="248"/>
      <c r="E32" s="37"/>
      <c r="F32" s="37"/>
      <c r="G32" s="37"/>
      <c r="H32" s="37"/>
      <c r="I32" s="37"/>
      <c r="J32" s="37"/>
      <c r="K32" s="121"/>
      <c r="L32" s="121"/>
      <c r="M32" s="37"/>
      <c r="N32" s="122"/>
      <c r="O32" s="37"/>
      <c r="P32" s="37"/>
      <c r="Q32" s="37"/>
      <c r="R32" s="123"/>
      <c r="T32" s="5"/>
      <c r="V32" s="1" t="s">
        <v>82</v>
      </c>
      <c r="W32" s="108">
        <f>+W31-1.25</f>
        <v>24</v>
      </c>
      <c r="Y32" s="1" t="s">
        <v>82</v>
      </c>
      <c r="Z32" s="108">
        <f>+Z31+1</f>
        <v>42</v>
      </c>
    </row>
    <row r="33" spans="2:26">
      <c r="B33" s="249"/>
      <c r="C33" s="127" t="s">
        <v>166</v>
      </c>
      <c r="D33" s="250"/>
      <c r="E33" s="129"/>
      <c r="F33" s="129"/>
      <c r="G33" s="129"/>
      <c r="H33" s="129"/>
      <c r="I33" s="129"/>
      <c r="J33" s="129"/>
      <c r="K33" s="130"/>
      <c r="L33" s="130"/>
      <c r="M33" s="129"/>
      <c r="N33" s="131"/>
      <c r="O33" s="129"/>
      <c r="P33" s="129"/>
      <c r="Q33" s="129"/>
      <c r="R33" s="132"/>
      <c r="T33" s="5"/>
      <c r="V33" s="1" t="s">
        <v>84</v>
      </c>
      <c r="W33" s="108">
        <f>+W32-1.25</f>
        <v>22.75</v>
      </c>
      <c r="Y33" s="1" t="s">
        <v>84</v>
      </c>
      <c r="Z33" s="108">
        <f>+Z32+1</f>
        <v>43</v>
      </c>
    </row>
    <row r="34" spans="2:26" s="106" customFormat="1" ht="4.5" customHeight="1">
      <c r="B34" s="105"/>
      <c r="C34" s="93"/>
      <c r="D34" s="94"/>
      <c r="E34" s="31"/>
      <c r="F34" s="31"/>
      <c r="G34" s="31"/>
      <c r="H34" s="31"/>
      <c r="I34" s="31"/>
      <c r="J34" s="31"/>
      <c r="K34" s="95"/>
      <c r="L34" s="95"/>
      <c r="M34" s="31"/>
      <c r="N34" s="96"/>
      <c r="O34" s="31"/>
      <c r="P34" s="31"/>
      <c r="Q34" s="31"/>
      <c r="R34" s="96"/>
      <c r="T34" s="107"/>
      <c r="U34" s="107"/>
      <c r="W34" s="133"/>
      <c r="Z34" s="133"/>
    </row>
    <row r="35" spans="2:26">
      <c r="B35" s="157" t="s">
        <v>167</v>
      </c>
      <c r="C35" s="158">
        <f>+D31</f>
        <v>15.5</v>
      </c>
      <c r="D35" s="158">
        <v>18</v>
      </c>
      <c r="E35" s="159">
        <f>+F31</f>
        <v>1250</v>
      </c>
      <c r="F35" s="159">
        <v>1468</v>
      </c>
      <c r="G35" s="158">
        <f>+D35-C35</f>
        <v>2.5</v>
      </c>
      <c r="H35" s="158">
        <f>+F35-E35</f>
        <v>218</v>
      </c>
      <c r="I35" s="160">
        <f>+H35/(G35*1000)</f>
        <v>8.72E-2</v>
      </c>
      <c r="J35" s="161">
        <f>+($D35-$C35)/K35/24</f>
        <v>8.1380208333333339E-3</v>
      </c>
      <c r="K35" s="162">
        <v>12.8</v>
      </c>
      <c r="L35" s="162"/>
      <c r="M35" s="161">
        <f>+M31+J35</f>
        <v>2.9770526900781857E-2</v>
      </c>
      <c r="N35" s="163">
        <f>+J35/$M$71</f>
        <v>5.18438341923559E-2</v>
      </c>
      <c r="O35" s="161">
        <f>+($D35-$C35)/P35/24</f>
        <v>1.3354700854700854E-2</v>
      </c>
      <c r="P35" s="164">
        <f>+K35-5</f>
        <v>7.8000000000000007</v>
      </c>
      <c r="Q35" s="161">
        <f>+Q31+O35</f>
        <v>3.9610624428001923E-2</v>
      </c>
      <c r="R35" s="165">
        <f>+O35/$Q$71</f>
        <v>6.5338853734590169E-2</v>
      </c>
      <c r="T35" s="5">
        <f>+I35*G35</f>
        <v>0.218</v>
      </c>
      <c r="U35" s="92">
        <f>+U31+G35</f>
        <v>18</v>
      </c>
      <c r="V35" s="1" t="s">
        <v>86</v>
      </c>
      <c r="W35" s="108">
        <f>+W33-1.25</f>
        <v>21.5</v>
      </c>
      <c r="Y35" s="1" t="s">
        <v>86</v>
      </c>
      <c r="Z35" s="108">
        <f>+Z33+1.25</f>
        <v>44.25</v>
      </c>
    </row>
    <row r="36" spans="2:26">
      <c r="B36" s="166" t="s">
        <v>168</v>
      </c>
      <c r="C36" s="251" t="s">
        <v>169</v>
      </c>
      <c r="D36" s="168"/>
      <c r="E36" s="167"/>
      <c r="F36" s="167"/>
      <c r="G36" s="167"/>
      <c r="H36" s="167"/>
      <c r="I36" s="167"/>
      <c r="J36" s="167"/>
      <c r="K36" s="169"/>
      <c r="L36" s="169"/>
      <c r="M36" s="167"/>
      <c r="N36" s="170"/>
      <c r="O36" s="167"/>
      <c r="P36" s="167"/>
      <c r="Q36" s="167"/>
      <c r="R36" s="171"/>
      <c r="T36" s="5"/>
      <c r="V36" s="1" t="s">
        <v>87</v>
      </c>
      <c r="W36" s="108">
        <f>+W35-1.25</f>
        <v>20.25</v>
      </c>
      <c r="Y36" s="1" t="s">
        <v>87</v>
      </c>
      <c r="Z36" s="108">
        <f>+Z35+1.25</f>
        <v>45.5</v>
      </c>
    </row>
    <row r="37" spans="2:26" ht="12" customHeight="1">
      <c r="B37" s="60"/>
      <c r="C37" s="252" t="s">
        <v>170</v>
      </c>
      <c r="D37" s="173"/>
      <c r="E37" s="61"/>
      <c r="F37" s="61"/>
      <c r="G37" s="61"/>
      <c r="H37" s="61"/>
      <c r="I37" s="61"/>
      <c r="J37" s="61"/>
      <c r="K37" s="174"/>
      <c r="L37" s="174"/>
      <c r="M37" s="61"/>
      <c r="N37" s="175"/>
      <c r="O37" s="61"/>
      <c r="P37" s="61"/>
      <c r="Q37" s="61"/>
      <c r="R37" s="176"/>
      <c r="T37" s="5"/>
      <c r="V37" s="1" t="s">
        <v>89</v>
      </c>
      <c r="W37" s="108">
        <f>+W36-1.25</f>
        <v>19</v>
      </c>
      <c r="Y37" s="1" t="s">
        <v>89</v>
      </c>
      <c r="Z37" s="108">
        <f>+Z36+1.25</f>
        <v>46.75</v>
      </c>
    </row>
    <row r="38" spans="2:26" s="106" customFormat="1" ht="4.5" customHeight="1">
      <c r="B38" s="105"/>
      <c r="C38" s="93"/>
      <c r="D38" s="94"/>
      <c r="E38" s="31"/>
      <c r="F38" s="31"/>
      <c r="G38" s="31"/>
      <c r="H38" s="31"/>
      <c r="I38" s="31"/>
      <c r="J38" s="31"/>
      <c r="K38" s="95"/>
      <c r="L38" s="95"/>
      <c r="M38" s="31"/>
      <c r="N38" s="96"/>
      <c r="O38" s="31"/>
      <c r="P38" s="31"/>
      <c r="Q38" s="31"/>
      <c r="R38" s="96"/>
      <c r="T38" s="107"/>
      <c r="U38" s="107"/>
      <c r="W38" s="133"/>
      <c r="Z38" s="133"/>
    </row>
    <row r="39" spans="2:26">
      <c r="B39" s="110" t="s">
        <v>171</v>
      </c>
      <c r="C39" s="111">
        <f>+D35</f>
        <v>18</v>
      </c>
      <c r="D39" s="111">
        <v>25</v>
      </c>
      <c r="E39" s="112">
        <f>+F35</f>
        <v>1468</v>
      </c>
      <c r="F39" s="112">
        <v>1650</v>
      </c>
      <c r="G39" s="111">
        <f>+D39-C39</f>
        <v>7</v>
      </c>
      <c r="H39" s="111">
        <f>+F39-E39</f>
        <v>182</v>
      </c>
      <c r="I39" s="113">
        <f>+H39/(G39*1000)</f>
        <v>2.5999999999999999E-2</v>
      </c>
      <c r="J39" s="114">
        <f>+($D39-$C39)/K39/24</f>
        <v>1.0416666666666666E-2</v>
      </c>
      <c r="K39" s="115">
        <v>28</v>
      </c>
      <c r="L39" s="115"/>
      <c r="M39" s="114">
        <f>+M35+J39</f>
        <v>4.0187193567448522E-2</v>
      </c>
      <c r="N39" s="116">
        <f>+J39/$M$71</f>
        <v>6.6360107766215551E-2</v>
      </c>
      <c r="O39" s="114">
        <f>+($D39-$C39)/P39/24</f>
        <v>1.2681159420289856E-2</v>
      </c>
      <c r="P39" s="117">
        <f>+K39-5</f>
        <v>23</v>
      </c>
      <c r="Q39" s="114">
        <f>+Q35+O39</f>
        <v>5.2291783848291779E-2</v>
      </c>
      <c r="R39" s="118">
        <f>+O39/$Q$71</f>
        <v>6.2043502850584749E-2</v>
      </c>
      <c r="T39" s="5">
        <f>+I39*G39</f>
        <v>0.182</v>
      </c>
      <c r="U39" s="92">
        <f>+U35+G39</f>
        <v>25</v>
      </c>
      <c r="V39" s="1" t="s">
        <v>91</v>
      </c>
      <c r="W39" s="108">
        <f>+W37-1.25</f>
        <v>17.75</v>
      </c>
      <c r="Y39" s="1" t="s">
        <v>91</v>
      </c>
      <c r="Z39" s="108">
        <f>+Z37+1.25</f>
        <v>48</v>
      </c>
    </row>
    <row r="40" spans="2:26">
      <c r="B40" s="36" t="s">
        <v>172</v>
      </c>
      <c r="C40" s="119" t="s">
        <v>173</v>
      </c>
      <c r="D40" s="120"/>
      <c r="E40" s="37"/>
      <c r="F40" s="37"/>
      <c r="G40" s="37"/>
      <c r="H40" s="37"/>
      <c r="I40" s="37"/>
      <c r="J40" s="37"/>
      <c r="K40" s="121"/>
      <c r="L40" s="121"/>
      <c r="M40" s="37"/>
      <c r="N40" s="122"/>
      <c r="O40" s="37"/>
      <c r="P40" s="37"/>
      <c r="Q40" s="37"/>
      <c r="R40" s="123"/>
      <c r="T40" s="5"/>
      <c r="V40" s="1" t="s">
        <v>94</v>
      </c>
      <c r="W40" s="108">
        <f>+W39-1.25</f>
        <v>16.5</v>
      </c>
      <c r="Y40" s="1" t="s">
        <v>94</v>
      </c>
      <c r="Z40" s="108">
        <f>+Z39+1.25</f>
        <v>49.25</v>
      </c>
    </row>
    <row r="41" spans="2:26">
      <c r="B41" s="126"/>
      <c r="C41" s="127" t="s">
        <v>174</v>
      </c>
      <c r="D41" s="128"/>
      <c r="E41" s="129"/>
      <c r="F41" s="129"/>
      <c r="G41" s="129"/>
      <c r="H41" s="129"/>
      <c r="I41" s="129"/>
      <c r="J41" s="129"/>
      <c r="K41" s="130"/>
      <c r="L41" s="130"/>
      <c r="M41" s="129"/>
      <c r="N41" s="131"/>
      <c r="O41" s="129"/>
      <c r="P41" s="129"/>
      <c r="Q41" s="129"/>
      <c r="R41" s="132"/>
      <c r="T41" s="5"/>
      <c r="V41" s="1" t="s">
        <v>96</v>
      </c>
      <c r="W41" s="108">
        <f>+W40-1.25</f>
        <v>15.25</v>
      </c>
      <c r="Y41" s="1" t="s">
        <v>96</v>
      </c>
      <c r="Z41" s="108">
        <f>+Z40+1.25</f>
        <v>50.5</v>
      </c>
    </row>
    <row r="42" spans="2:26" s="106" customFormat="1" ht="4.5" customHeight="1">
      <c r="B42" s="105"/>
      <c r="C42" s="93"/>
      <c r="D42" s="94"/>
      <c r="E42" s="31"/>
      <c r="F42" s="31"/>
      <c r="G42" s="31"/>
      <c r="H42" s="31"/>
      <c r="I42" s="31"/>
      <c r="J42" s="31"/>
      <c r="K42" s="95"/>
      <c r="L42" s="95"/>
      <c r="M42" s="31"/>
      <c r="N42" s="96"/>
      <c r="O42" s="31"/>
      <c r="P42" s="31"/>
      <c r="Q42" s="31"/>
      <c r="R42" s="96"/>
      <c r="T42" s="107"/>
      <c r="U42" s="107"/>
      <c r="W42" s="133"/>
      <c r="Z42" s="133"/>
    </row>
    <row r="43" spans="2:26">
      <c r="B43" s="198" t="s">
        <v>175</v>
      </c>
      <c r="C43" s="199">
        <f>+D39</f>
        <v>25</v>
      </c>
      <c r="D43" s="199">
        <v>40</v>
      </c>
      <c r="E43" s="200">
        <f>+F39</f>
        <v>1650</v>
      </c>
      <c r="F43" s="200">
        <v>725</v>
      </c>
      <c r="G43" s="199">
        <f>+D43-C43</f>
        <v>15</v>
      </c>
      <c r="H43" s="199">
        <f>+F43-E43</f>
        <v>-925</v>
      </c>
      <c r="I43" s="201">
        <f>+H43/(G43*1000)</f>
        <v>-6.1666666666666668E-2</v>
      </c>
      <c r="J43" s="202">
        <f>+($D43-$C43)/K43/24</f>
        <v>1.3297872340425532E-2</v>
      </c>
      <c r="K43" s="203">
        <v>47</v>
      </c>
      <c r="L43" s="203"/>
      <c r="M43" s="202">
        <f>+M39+J43</f>
        <v>5.3485065907874052E-2</v>
      </c>
      <c r="N43" s="204">
        <f>+J43/$M$71</f>
        <v>8.4715031190913462E-2</v>
      </c>
      <c r="O43" s="202">
        <f>+($D43-$C43)/P43/24</f>
        <v>1.4880952380952382E-2</v>
      </c>
      <c r="P43" s="205">
        <f>+K43-5</f>
        <v>42</v>
      </c>
      <c r="Q43" s="202">
        <f>+Q39+O43</f>
        <v>6.7172736229244162E-2</v>
      </c>
      <c r="R43" s="206">
        <f>+O43/$Q$71</f>
        <v>7.2806151304257619E-2</v>
      </c>
      <c r="T43" s="5">
        <f>+I43*G43</f>
        <v>-0.92500000000000004</v>
      </c>
      <c r="U43" s="92">
        <f>+U39+G43</f>
        <v>40</v>
      </c>
      <c r="V43" s="1" t="s">
        <v>98</v>
      </c>
      <c r="W43" s="108">
        <f>+W41-1.25</f>
        <v>14</v>
      </c>
      <c r="Y43" s="1" t="s">
        <v>98</v>
      </c>
      <c r="Z43" s="108">
        <f>+Z41+1.25</f>
        <v>51.75</v>
      </c>
    </row>
    <row r="44" spans="2:26">
      <c r="B44" s="207" t="s">
        <v>113</v>
      </c>
      <c r="C44" s="208" t="s">
        <v>176</v>
      </c>
      <c r="D44" s="209"/>
      <c r="E44" s="208"/>
      <c r="F44" s="208"/>
      <c r="G44" s="208"/>
      <c r="H44" s="208"/>
      <c r="I44" s="208"/>
      <c r="J44" s="208"/>
      <c r="K44" s="210"/>
      <c r="L44" s="210"/>
      <c r="M44" s="208"/>
      <c r="N44" s="211"/>
      <c r="O44" s="208"/>
      <c r="P44" s="208"/>
      <c r="Q44" s="208"/>
      <c r="R44" s="212"/>
      <c r="T44" s="5"/>
      <c r="V44" s="1" t="s">
        <v>99</v>
      </c>
      <c r="W44" s="108">
        <f>+W43-1.25</f>
        <v>12.75</v>
      </c>
      <c r="Y44" s="1" t="s">
        <v>99</v>
      </c>
      <c r="Z44" s="108">
        <f>+Z43+1.25</f>
        <v>53</v>
      </c>
    </row>
    <row r="45" spans="2:26">
      <c r="B45" s="67"/>
      <c r="C45" s="68" t="s">
        <v>177</v>
      </c>
      <c r="D45" s="213"/>
      <c r="E45" s="68"/>
      <c r="F45" s="68"/>
      <c r="G45" s="68"/>
      <c r="H45" s="68"/>
      <c r="I45" s="68"/>
      <c r="J45" s="68"/>
      <c r="K45" s="214"/>
      <c r="L45" s="214"/>
      <c r="M45" s="68"/>
      <c r="N45" s="215"/>
      <c r="O45" s="68"/>
      <c r="P45" s="68"/>
      <c r="Q45" s="68"/>
      <c r="R45" s="216"/>
      <c r="T45" s="5"/>
      <c r="V45" s="1" t="s">
        <v>100</v>
      </c>
      <c r="W45" s="108">
        <f>+W44-1.25</f>
        <v>11.5</v>
      </c>
      <c r="Y45" s="1" t="s">
        <v>100</v>
      </c>
      <c r="Z45" s="108">
        <f>+Z44+1.25</f>
        <v>54.25</v>
      </c>
    </row>
    <row r="46" spans="2:26" s="106" customFormat="1" ht="4.5" customHeight="1">
      <c r="B46" s="105"/>
      <c r="C46" s="93"/>
      <c r="D46" s="94"/>
      <c r="E46" s="31"/>
      <c r="F46" s="31"/>
      <c r="G46" s="31"/>
      <c r="H46" s="31"/>
      <c r="I46" s="31"/>
      <c r="J46" s="31"/>
      <c r="K46" s="95"/>
      <c r="L46" s="95"/>
      <c r="M46" s="31"/>
      <c r="N46" s="96"/>
      <c r="O46" s="31"/>
      <c r="P46" s="31"/>
      <c r="Q46" s="31"/>
      <c r="R46" s="96"/>
      <c r="T46" s="107"/>
      <c r="U46" s="107"/>
      <c r="W46" s="133"/>
      <c r="Z46" s="133"/>
    </row>
    <row r="47" spans="2:26">
      <c r="B47" s="84" t="s">
        <v>178</v>
      </c>
      <c r="C47" s="85">
        <f>+D43</f>
        <v>40</v>
      </c>
      <c r="D47" s="85">
        <v>42</v>
      </c>
      <c r="E47" s="86">
        <f>+F43</f>
        <v>725</v>
      </c>
      <c r="F47" s="86">
        <v>737</v>
      </c>
      <c r="G47" s="85">
        <f>+D47-C47</f>
        <v>2</v>
      </c>
      <c r="H47" s="85">
        <f>+F47-E47</f>
        <v>12</v>
      </c>
      <c r="I47" s="87">
        <f>+H47/(G47*1000)</f>
        <v>6.0000000000000001E-3</v>
      </c>
      <c r="J47" s="88">
        <f>+($D47-$C47)/K47/24</f>
        <v>2.5252525252525255E-3</v>
      </c>
      <c r="K47" s="89">
        <v>33</v>
      </c>
      <c r="L47" s="89"/>
      <c r="M47" s="88">
        <f>+M43+J47</f>
        <v>5.601031843312658E-2</v>
      </c>
      <c r="N47" s="90">
        <f>+J47/$M$71</f>
        <v>1.6087298852415891E-2</v>
      </c>
      <c r="O47" s="88">
        <f>+($D47-$C47)/P47/24</f>
        <v>2.976190476190476E-3</v>
      </c>
      <c r="P47" s="134">
        <f>+K47-5</f>
        <v>28</v>
      </c>
      <c r="Q47" s="88">
        <f>+Q43+O47</f>
        <v>7.0148926705434642E-2</v>
      </c>
      <c r="R47" s="91">
        <f>+O47/$Q$71</f>
        <v>1.4561230260851522E-2</v>
      </c>
      <c r="T47" s="5">
        <f>+I47*G47</f>
        <v>1.2E-2</v>
      </c>
      <c r="U47" s="92">
        <f>+U43+G47</f>
        <v>42</v>
      </c>
      <c r="V47" s="1" t="s">
        <v>102</v>
      </c>
      <c r="W47" s="108">
        <f>+W45-1.25</f>
        <v>10.25</v>
      </c>
      <c r="Y47" s="1" t="s">
        <v>102</v>
      </c>
      <c r="Z47" s="108">
        <f>+Z45+1.25</f>
        <v>55.5</v>
      </c>
    </row>
    <row r="48" spans="2:26">
      <c r="B48" s="30" t="s">
        <v>179</v>
      </c>
      <c r="C48" s="93" t="s">
        <v>81</v>
      </c>
      <c r="D48" s="94"/>
      <c r="E48" s="31"/>
      <c r="F48" s="31"/>
      <c r="G48" s="31"/>
      <c r="H48" s="31"/>
      <c r="I48" s="31"/>
      <c r="J48" s="31"/>
      <c r="K48" s="95"/>
      <c r="L48" s="95"/>
      <c r="M48" s="31"/>
      <c r="N48" s="96"/>
      <c r="O48" s="31"/>
      <c r="P48" s="31"/>
      <c r="Q48" s="31"/>
      <c r="R48" s="97"/>
      <c r="T48" s="5"/>
      <c r="W48" s="108"/>
      <c r="Z48" s="109"/>
    </row>
    <row r="49" spans="2:26">
      <c r="B49" s="98"/>
      <c r="C49" s="99" t="s">
        <v>180</v>
      </c>
      <c r="D49" s="100"/>
      <c r="E49" s="101"/>
      <c r="F49" s="101"/>
      <c r="G49" s="101"/>
      <c r="H49" s="101"/>
      <c r="I49" s="101"/>
      <c r="J49" s="101"/>
      <c r="K49" s="102"/>
      <c r="L49" s="102"/>
      <c r="M49" s="101"/>
      <c r="N49" s="103"/>
      <c r="O49" s="101"/>
      <c r="P49" s="101"/>
      <c r="Q49" s="101"/>
      <c r="R49" s="104"/>
      <c r="T49" s="5"/>
      <c r="W49" s="108"/>
      <c r="Z49" s="109"/>
    </row>
    <row r="50" spans="2:26" s="106" customFormat="1" ht="4.5" customHeight="1">
      <c r="B50" s="105"/>
      <c r="C50" s="93"/>
      <c r="D50" s="94"/>
      <c r="E50" s="31"/>
      <c r="F50" s="31"/>
      <c r="G50" s="31"/>
      <c r="H50" s="31"/>
      <c r="I50" s="31"/>
      <c r="J50" s="31"/>
      <c r="K50" s="95"/>
      <c r="L50" s="95"/>
      <c r="M50" s="31"/>
      <c r="N50" s="96"/>
      <c r="O50" s="31"/>
      <c r="P50" s="31"/>
      <c r="Q50" s="31"/>
      <c r="R50" s="96"/>
      <c r="T50" s="107"/>
      <c r="U50" s="107"/>
      <c r="V50" s="1"/>
      <c r="W50" s="108"/>
      <c r="X50" s="1"/>
      <c r="Y50" s="1"/>
      <c r="Z50" s="109"/>
    </row>
    <row r="51" spans="2:26">
      <c r="B51" s="136" t="s">
        <v>181</v>
      </c>
      <c r="C51" s="137">
        <f>+D47</f>
        <v>42</v>
      </c>
      <c r="D51" s="137">
        <v>55</v>
      </c>
      <c r="E51" s="138">
        <f>+F47</f>
        <v>737</v>
      </c>
      <c r="F51" s="138">
        <v>1605</v>
      </c>
      <c r="G51" s="137">
        <f>+D51-C51</f>
        <v>13</v>
      </c>
      <c r="H51" s="137">
        <f>+F51-E51</f>
        <v>868</v>
      </c>
      <c r="I51" s="139">
        <f>+H51/(G51*1000)</f>
        <v>6.6769230769230775E-2</v>
      </c>
      <c r="J51" s="140">
        <f>+($D51-$C51)/K51/24</f>
        <v>3.0430711610486893E-2</v>
      </c>
      <c r="K51" s="141">
        <v>17.8</v>
      </c>
      <c r="L51" s="141"/>
      <c r="M51" s="140">
        <f>+M47+J51</f>
        <v>8.6441030043613476E-2</v>
      </c>
      <c r="N51" s="142">
        <f>+J51/$M$71</f>
        <v>0.19386098897995555</v>
      </c>
      <c r="O51" s="140">
        <f>+($D51-$C51)/P51/24</f>
        <v>4.2317708333333336E-2</v>
      </c>
      <c r="P51" s="143">
        <f>+K51-5</f>
        <v>12.8</v>
      </c>
      <c r="Q51" s="140">
        <f>+Q47+O51</f>
        <v>0.11246663503876797</v>
      </c>
      <c r="R51" s="144">
        <f>+O51/$Q$71</f>
        <v>0.20704249277148259</v>
      </c>
      <c r="T51" s="5">
        <f>+I51*G51</f>
        <v>0.8680000000000001</v>
      </c>
      <c r="U51" s="92">
        <f>+U47+G51</f>
        <v>55</v>
      </c>
      <c r="W51" s="108"/>
      <c r="Z51" s="109"/>
    </row>
    <row r="52" spans="2:26">
      <c r="B52" s="48" t="s">
        <v>182</v>
      </c>
      <c r="C52" s="145" t="s">
        <v>183</v>
      </c>
      <c r="D52" s="146"/>
      <c r="E52" s="49"/>
      <c r="F52" s="49"/>
      <c r="G52" s="49"/>
      <c r="H52" s="49"/>
      <c r="I52" s="49"/>
      <c r="J52" s="49"/>
      <c r="K52" s="147"/>
      <c r="L52" s="147"/>
      <c r="M52" s="49"/>
      <c r="N52" s="148"/>
      <c r="O52" s="49"/>
      <c r="P52" s="49"/>
      <c r="Q52" s="49"/>
      <c r="R52" s="149"/>
      <c r="T52" s="5"/>
    </row>
    <row r="53" spans="2:26">
      <c r="B53" s="150"/>
      <c r="C53" s="151" t="s">
        <v>184</v>
      </c>
      <c r="D53" s="152"/>
      <c r="E53" s="153"/>
      <c r="F53" s="153"/>
      <c r="G53" s="153"/>
      <c r="H53" s="153"/>
      <c r="I53" s="153"/>
      <c r="J53" s="153"/>
      <c r="K53" s="154"/>
      <c r="L53" s="154"/>
      <c r="M53" s="153"/>
      <c r="N53" s="155"/>
      <c r="O53" s="153"/>
      <c r="P53" s="153"/>
      <c r="Q53" s="153"/>
      <c r="R53" s="156"/>
      <c r="T53" s="5"/>
    </row>
    <row r="54" spans="2:26" s="106" customFormat="1" ht="4.5" customHeight="1">
      <c r="B54" s="105"/>
      <c r="C54" s="93"/>
      <c r="D54" s="94"/>
      <c r="E54" s="31"/>
      <c r="F54" s="31"/>
      <c r="G54" s="31"/>
      <c r="H54" s="31"/>
      <c r="I54" s="31"/>
      <c r="J54" s="31"/>
      <c r="K54" s="95"/>
      <c r="L54" s="95"/>
      <c r="M54" s="31"/>
      <c r="N54" s="96"/>
      <c r="O54" s="31"/>
      <c r="P54" s="31"/>
      <c r="Q54" s="31"/>
      <c r="R54" s="96"/>
      <c r="T54" s="107"/>
      <c r="U54" s="107"/>
    </row>
    <row r="55" spans="2:26">
      <c r="B55" s="110" t="s">
        <v>185</v>
      </c>
      <c r="C55" s="111">
        <f>+D51</f>
        <v>55</v>
      </c>
      <c r="D55" s="111">
        <v>63</v>
      </c>
      <c r="E55" s="112">
        <f>+F51</f>
        <v>1605</v>
      </c>
      <c r="F55" s="112">
        <v>1967</v>
      </c>
      <c r="G55" s="111">
        <f>+D55-C55</f>
        <v>8</v>
      </c>
      <c r="H55" s="111">
        <f>+F55-E55</f>
        <v>362</v>
      </c>
      <c r="I55" s="113">
        <f>+H55/(G55*1000)</f>
        <v>4.5249999999999999E-2</v>
      </c>
      <c r="J55" s="114">
        <f>+($D55-$C55)/K55/24</f>
        <v>1.4492753623188406E-2</v>
      </c>
      <c r="K55" s="115">
        <v>23</v>
      </c>
      <c r="L55" s="115"/>
      <c r="M55" s="114">
        <f>+M51+J55</f>
        <v>0.10093378366680188</v>
      </c>
      <c r="N55" s="116">
        <f>+J55/$M$71</f>
        <v>9.2327106457343378E-2</v>
      </c>
      <c r="O55" s="114">
        <f>+($D55-$C55)/P55/24</f>
        <v>1.8518518518518517E-2</v>
      </c>
      <c r="P55" s="117">
        <f>+K55-5</f>
        <v>18</v>
      </c>
      <c r="Q55" s="114">
        <f>+Q51+O55</f>
        <v>0.13098515355728649</v>
      </c>
      <c r="R55" s="118">
        <f>+O55/$Q$71</f>
        <v>9.0603210511965029E-2</v>
      </c>
      <c r="T55" s="5">
        <f>+I55*G55</f>
        <v>0.36199999999999999</v>
      </c>
      <c r="U55" s="92">
        <f>+U51+G55</f>
        <v>63</v>
      </c>
      <c r="V55" s="186"/>
      <c r="W55" s="187"/>
    </row>
    <row r="56" spans="2:26">
      <c r="B56" s="36" t="s">
        <v>186</v>
      </c>
      <c r="C56" s="119" t="s">
        <v>187</v>
      </c>
      <c r="D56" s="120"/>
      <c r="E56" s="37"/>
      <c r="F56" s="37"/>
      <c r="G56" s="37"/>
      <c r="H56" s="37"/>
      <c r="I56" s="37"/>
      <c r="J56" s="37"/>
      <c r="K56" s="121"/>
      <c r="L56" s="121"/>
      <c r="M56" s="37"/>
      <c r="N56" s="122"/>
      <c r="O56" s="37"/>
      <c r="P56" s="37"/>
      <c r="Q56" s="37"/>
      <c r="R56" s="123"/>
      <c r="T56" s="5"/>
    </row>
    <row r="57" spans="2:26">
      <c r="B57" s="126"/>
      <c r="C57" s="127" t="s">
        <v>188</v>
      </c>
      <c r="D57" s="128"/>
      <c r="E57" s="129"/>
      <c r="F57" s="129"/>
      <c r="G57" s="129"/>
      <c r="H57" s="129"/>
      <c r="I57" s="129"/>
      <c r="J57" s="129"/>
      <c r="K57" s="130"/>
      <c r="L57" s="130"/>
      <c r="M57" s="129"/>
      <c r="N57" s="131"/>
      <c r="O57" s="129"/>
      <c r="P57" s="129"/>
      <c r="Q57" s="129"/>
      <c r="R57" s="132"/>
      <c r="T57" s="5"/>
    </row>
    <row r="58" spans="2:26" s="106" customFormat="1" ht="4.5" customHeight="1">
      <c r="B58" s="105"/>
      <c r="C58" s="93"/>
      <c r="D58" s="94"/>
      <c r="E58" s="31"/>
      <c r="F58" s="31"/>
      <c r="G58" s="31"/>
      <c r="H58" s="31"/>
      <c r="I58" s="31"/>
      <c r="J58" s="31"/>
      <c r="K58" s="95"/>
      <c r="L58" s="95"/>
      <c r="M58" s="31"/>
      <c r="N58" s="96"/>
      <c r="O58" s="31"/>
      <c r="P58" s="31"/>
      <c r="Q58" s="31"/>
      <c r="R58" s="96"/>
      <c r="T58" s="107"/>
      <c r="U58" s="107"/>
    </row>
    <row r="59" spans="2:26">
      <c r="B59" s="253" t="s">
        <v>189</v>
      </c>
      <c r="C59" s="254">
        <f>+D55</f>
        <v>63</v>
      </c>
      <c r="D59" s="254">
        <v>69.5</v>
      </c>
      <c r="E59" s="255">
        <f>+F55</f>
        <v>1967</v>
      </c>
      <c r="F59" s="255">
        <v>1650</v>
      </c>
      <c r="G59" s="254">
        <f>+D59-C59</f>
        <v>6.5</v>
      </c>
      <c r="H59" s="254">
        <f>+F59-E59</f>
        <v>-317</v>
      </c>
      <c r="I59" s="256">
        <f>+H59/(G59*1000)</f>
        <v>-4.8769230769230766E-2</v>
      </c>
      <c r="J59" s="257">
        <f>+($D59-$C59)/K59/24</f>
        <v>6.2984496124031007E-3</v>
      </c>
      <c r="K59" s="258">
        <v>43</v>
      </c>
      <c r="L59" s="258"/>
      <c r="M59" s="257">
        <f>+M55+J59</f>
        <v>0.10723223327920497</v>
      </c>
      <c r="N59" s="259">
        <f>+J59/$M$71</f>
        <v>4.012471632375824E-2</v>
      </c>
      <c r="O59" s="257">
        <f>+($D59-$C59)/P59/24</f>
        <v>7.1271929824561408E-3</v>
      </c>
      <c r="P59" s="260">
        <f>+K59-5</f>
        <v>38</v>
      </c>
      <c r="Q59" s="257">
        <f>+Q55+O59</f>
        <v>0.13811234653974264</v>
      </c>
      <c r="R59" s="261">
        <f>+O59/$Q$71</f>
        <v>3.4870314572039172E-2</v>
      </c>
      <c r="T59" s="5">
        <f>+I59*G59</f>
        <v>-0.317</v>
      </c>
      <c r="U59" s="92">
        <f>+U55+G59</f>
        <v>69.5</v>
      </c>
      <c r="V59" s="186"/>
      <c r="W59" s="187"/>
    </row>
    <row r="60" spans="2:26">
      <c r="B60" s="42" t="s">
        <v>113</v>
      </c>
      <c r="C60" s="43" t="s">
        <v>190</v>
      </c>
      <c r="D60" s="262"/>
      <c r="E60" s="43"/>
      <c r="F60" s="43"/>
      <c r="G60" s="43"/>
      <c r="H60" s="43"/>
      <c r="I60" s="43"/>
      <c r="J60" s="43"/>
      <c r="K60" s="263"/>
      <c r="L60" s="263"/>
      <c r="M60" s="43"/>
      <c r="N60" s="264"/>
      <c r="O60" s="43"/>
      <c r="P60" s="43"/>
      <c r="Q60" s="43"/>
      <c r="R60" s="265"/>
      <c r="T60" s="5"/>
    </row>
    <row r="61" spans="2:26">
      <c r="B61" s="266"/>
      <c r="C61" s="267" t="s">
        <v>191</v>
      </c>
      <c r="D61" s="268"/>
      <c r="E61" s="267"/>
      <c r="F61" s="267"/>
      <c r="G61" s="267"/>
      <c r="H61" s="267"/>
      <c r="I61" s="267"/>
      <c r="J61" s="267"/>
      <c r="K61" s="269"/>
      <c r="L61" s="269"/>
      <c r="M61" s="267"/>
      <c r="N61" s="270"/>
      <c r="O61" s="267"/>
      <c r="P61" s="267"/>
      <c r="Q61" s="267"/>
      <c r="R61" s="271"/>
      <c r="T61" s="5"/>
    </row>
    <row r="62" spans="2:26" s="106" customFormat="1" ht="4.5" customHeight="1">
      <c r="B62" s="105"/>
      <c r="C62" s="93"/>
      <c r="D62" s="94"/>
      <c r="E62" s="31"/>
      <c r="F62" s="31"/>
      <c r="G62" s="31"/>
      <c r="H62" s="31"/>
      <c r="I62" s="31"/>
      <c r="J62" s="31"/>
      <c r="K62" s="95"/>
      <c r="L62" s="95"/>
      <c r="M62" s="31"/>
      <c r="N62" s="96"/>
      <c r="O62" s="31"/>
      <c r="P62" s="31"/>
      <c r="Q62" s="31"/>
      <c r="R62" s="96"/>
      <c r="T62" s="107"/>
      <c r="U62" s="107"/>
    </row>
    <row r="63" spans="2:26">
      <c r="B63" s="198" t="s">
        <v>192</v>
      </c>
      <c r="C63" s="199">
        <f>+D59</f>
        <v>69.5</v>
      </c>
      <c r="D63" s="199">
        <v>82</v>
      </c>
      <c r="E63" s="200">
        <f>+F59</f>
        <v>1650</v>
      </c>
      <c r="F63" s="200">
        <v>820</v>
      </c>
      <c r="G63" s="199">
        <f>+D63-C63</f>
        <v>12.5</v>
      </c>
      <c r="H63" s="199">
        <f>+F63-E63</f>
        <v>-830</v>
      </c>
      <c r="I63" s="201">
        <f>+H63/(G63*1000)</f>
        <v>-6.6400000000000001E-2</v>
      </c>
      <c r="J63" s="202">
        <f>+($D63-$C63)/K63/24</f>
        <v>1.0850694444444446E-2</v>
      </c>
      <c r="K63" s="203">
        <v>48</v>
      </c>
      <c r="L63" s="203"/>
      <c r="M63" s="202">
        <f>+M59+J63</f>
        <v>0.11808292772364942</v>
      </c>
      <c r="N63" s="204">
        <f>+J63/$M$71</f>
        <v>6.9125112256474538E-2</v>
      </c>
      <c r="O63" s="202">
        <f>+($D63-$C63)/P63/24</f>
        <v>1.2112403100775194E-2</v>
      </c>
      <c r="P63" s="205">
        <f>+K63-5</f>
        <v>43</v>
      </c>
      <c r="Q63" s="202">
        <f>+Q59+O63</f>
        <v>0.15022474964051782</v>
      </c>
      <c r="R63" s="206">
        <f>+O63/$Q$71</f>
        <v>5.9260820829046899E-2</v>
      </c>
      <c r="T63" s="5">
        <f>+I63*G63</f>
        <v>-0.83</v>
      </c>
      <c r="U63" s="92">
        <f>+U59+G63</f>
        <v>82</v>
      </c>
      <c r="V63" s="186"/>
      <c r="W63" s="187"/>
    </row>
    <row r="64" spans="2:26">
      <c r="B64" s="207" t="s">
        <v>113</v>
      </c>
      <c r="C64" s="208" t="s">
        <v>193</v>
      </c>
      <c r="D64" s="209"/>
      <c r="E64" s="208"/>
      <c r="F64" s="208"/>
      <c r="G64" s="208"/>
      <c r="H64" s="208"/>
      <c r="I64" s="208"/>
      <c r="J64" s="208"/>
      <c r="K64" s="210"/>
      <c r="L64" s="210"/>
      <c r="M64" s="208"/>
      <c r="N64" s="211"/>
      <c r="O64" s="208"/>
      <c r="P64" s="208"/>
      <c r="Q64" s="208"/>
      <c r="R64" s="212"/>
      <c r="T64" s="5"/>
    </row>
    <row r="65" spans="2:23">
      <c r="B65" s="67"/>
      <c r="C65" s="68" t="s">
        <v>194</v>
      </c>
      <c r="D65" s="213"/>
      <c r="E65" s="68"/>
      <c r="F65" s="68"/>
      <c r="G65" s="68"/>
      <c r="H65" s="68"/>
      <c r="I65" s="68"/>
      <c r="J65" s="68"/>
      <c r="K65" s="214"/>
      <c r="L65" s="214"/>
      <c r="M65" s="68"/>
      <c r="N65" s="215"/>
      <c r="O65" s="68"/>
      <c r="P65" s="68"/>
      <c r="Q65" s="68"/>
      <c r="R65" s="216"/>
      <c r="T65" s="5"/>
    </row>
    <row r="66" spans="2:23" s="106" customFormat="1" ht="4.5" customHeight="1">
      <c r="B66" s="105"/>
      <c r="C66" s="93"/>
      <c r="D66" s="94"/>
      <c r="E66" s="31"/>
      <c r="F66" s="31"/>
      <c r="G66" s="31"/>
      <c r="H66" s="31"/>
      <c r="I66" s="31"/>
      <c r="J66" s="31"/>
      <c r="K66" s="95"/>
      <c r="L66" s="95"/>
      <c r="M66" s="31"/>
      <c r="N66" s="96"/>
      <c r="O66" s="31"/>
      <c r="P66" s="31"/>
      <c r="Q66" s="31"/>
      <c r="R66" s="96"/>
      <c r="T66" s="107"/>
      <c r="U66" s="107"/>
    </row>
    <row r="67" spans="2:23">
      <c r="B67" s="110" t="s">
        <v>195</v>
      </c>
      <c r="C67" s="111">
        <f>+D63</f>
        <v>82</v>
      </c>
      <c r="D67" s="111">
        <v>92</v>
      </c>
      <c r="E67" s="112">
        <f>+F63</f>
        <v>820</v>
      </c>
      <c r="F67" s="112">
        <v>1200</v>
      </c>
      <c r="G67" s="111">
        <f>+D67-C67</f>
        <v>10</v>
      </c>
      <c r="H67" s="111">
        <f>+F67-E67</f>
        <v>380</v>
      </c>
      <c r="I67" s="113">
        <f>+H67/(G67*1000)</f>
        <v>3.7999999999999999E-2</v>
      </c>
      <c r="J67" s="114">
        <f>+($D67-$C67)/K67/24</f>
        <v>1.6666666666666666E-2</v>
      </c>
      <c r="K67" s="115">
        <v>25</v>
      </c>
      <c r="L67" s="115"/>
      <c r="M67" s="114">
        <f>+M63+J67</f>
        <v>0.13474959439031609</v>
      </c>
      <c r="N67" s="116">
        <f>+J67/$M$71</f>
        <v>0.10617617242594488</v>
      </c>
      <c r="O67" s="114">
        <f>+($D67-$C67)/P67/24</f>
        <v>2.0833333333333332E-2</v>
      </c>
      <c r="P67" s="117">
        <f>+K67-5</f>
        <v>20</v>
      </c>
      <c r="Q67" s="114">
        <f>+Q63+O67</f>
        <v>0.17105808297385117</v>
      </c>
      <c r="R67" s="118">
        <f>+O67/$Q$71</f>
        <v>0.10192861182596065</v>
      </c>
      <c r="T67" s="5">
        <f>+I67*G67</f>
        <v>0.38</v>
      </c>
      <c r="U67" s="92">
        <f>+U63+G67</f>
        <v>92</v>
      </c>
      <c r="V67" s="186"/>
      <c r="W67" s="187"/>
    </row>
    <row r="68" spans="2:23">
      <c r="B68" s="36" t="s">
        <v>196</v>
      </c>
      <c r="C68" s="119" t="s">
        <v>197</v>
      </c>
      <c r="D68" s="120"/>
      <c r="E68" s="37"/>
      <c r="F68" s="37"/>
      <c r="G68" s="37"/>
      <c r="H68" s="37"/>
      <c r="I68" s="37"/>
      <c r="J68" s="37"/>
      <c r="K68" s="121"/>
      <c r="L68" s="121"/>
      <c r="M68" s="37"/>
      <c r="N68" s="122"/>
      <c r="O68" s="37"/>
      <c r="P68" s="37"/>
      <c r="Q68" s="37"/>
      <c r="R68" s="123"/>
      <c r="T68" s="5"/>
    </row>
    <row r="69" spans="2:23">
      <c r="B69" s="126"/>
      <c r="C69" s="127" t="s">
        <v>198</v>
      </c>
      <c r="D69" s="128"/>
      <c r="E69" s="129"/>
      <c r="F69" s="129"/>
      <c r="G69" s="129"/>
      <c r="H69" s="129"/>
      <c r="I69" s="129"/>
      <c r="J69" s="129"/>
      <c r="K69" s="130"/>
      <c r="L69" s="130"/>
      <c r="M69" s="129"/>
      <c r="N69" s="131"/>
      <c r="O69" s="129"/>
      <c r="P69" s="129"/>
      <c r="Q69" s="129"/>
      <c r="R69" s="132"/>
      <c r="T69" s="5"/>
    </row>
    <row r="70" spans="2:23" s="106" customFormat="1" ht="4.5" customHeight="1">
      <c r="B70" s="105"/>
      <c r="C70" s="93"/>
      <c r="D70" s="94"/>
      <c r="E70" s="31"/>
      <c r="F70" s="31"/>
      <c r="G70" s="31"/>
      <c r="H70" s="31"/>
      <c r="I70" s="31"/>
      <c r="J70" s="31"/>
      <c r="K70" s="95"/>
      <c r="L70" s="95"/>
      <c r="M70" s="31"/>
      <c r="N70" s="96"/>
      <c r="O70" s="31"/>
      <c r="P70" s="31"/>
      <c r="Q70" s="31"/>
      <c r="R70" s="96"/>
      <c r="T70" s="107"/>
      <c r="U70" s="107"/>
    </row>
    <row r="71" spans="2:23">
      <c r="B71" s="157" t="s">
        <v>199</v>
      </c>
      <c r="C71" s="158">
        <f>+D67</f>
        <v>92</v>
      </c>
      <c r="D71" s="158">
        <v>100</v>
      </c>
      <c r="E71" s="159">
        <f>+F67</f>
        <v>1200</v>
      </c>
      <c r="F71" s="159">
        <v>1800</v>
      </c>
      <c r="G71" s="158">
        <f>+D71-C71</f>
        <v>8</v>
      </c>
      <c r="H71" s="158">
        <f>+F71-E71</f>
        <v>600</v>
      </c>
      <c r="I71" s="160">
        <f>+H71/(G71*1000)</f>
        <v>7.4999999999999997E-2</v>
      </c>
      <c r="J71" s="161">
        <f>+($D71-$C71)/K71/24</f>
        <v>2.2222222222222223E-2</v>
      </c>
      <c r="K71" s="162">
        <v>15</v>
      </c>
      <c r="L71" s="162"/>
      <c r="M71" s="161">
        <f>+M67+J71</f>
        <v>0.15697181661253831</v>
      </c>
      <c r="N71" s="163">
        <f>+J71/$M$71</f>
        <v>0.14156822990125983</v>
      </c>
      <c r="O71" s="161">
        <f>+($D71-$C71)/P71/24</f>
        <v>3.3333333333333333E-2</v>
      </c>
      <c r="P71" s="164">
        <f>+K71-5</f>
        <v>10</v>
      </c>
      <c r="Q71" s="161">
        <f>+Q67+O71</f>
        <v>0.20439141630718449</v>
      </c>
      <c r="R71" s="165">
        <f>+O71/$Q$71</f>
        <v>0.16308577892153706</v>
      </c>
      <c r="T71" s="5">
        <f>+I71*G71</f>
        <v>0.6</v>
      </c>
      <c r="U71" s="92">
        <f>+U67+G71</f>
        <v>100</v>
      </c>
      <c r="V71" s="186"/>
      <c r="W71" s="187"/>
    </row>
    <row r="72" spans="2:23">
      <c r="B72" s="166" t="s">
        <v>168</v>
      </c>
      <c r="C72" s="251" t="s">
        <v>169</v>
      </c>
      <c r="D72" s="168"/>
      <c r="E72" s="167"/>
      <c r="F72" s="167"/>
      <c r="G72" s="167"/>
      <c r="H72" s="167"/>
      <c r="I72" s="167"/>
      <c r="J72" s="167"/>
      <c r="K72" s="169"/>
      <c r="L72" s="169"/>
      <c r="M72" s="167"/>
      <c r="N72" s="170"/>
      <c r="O72" s="167"/>
      <c r="P72" s="167"/>
      <c r="Q72" s="167"/>
      <c r="R72" s="171"/>
      <c r="T72" s="5"/>
    </row>
    <row r="73" spans="2:23">
      <c r="B73" s="60" t="s">
        <v>135</v>
      </c>
      <c r="C73" s="252" t="s">
        <v>200</v>
      </c>
      <c r="D73" s="173"/>
      <c r="E73" s="61"/>
      <c r="F73" s="61"/>
      <c r="G73" s="61"/>
      <c r="H73" s="61"/>
      <c r="I73" s="61"/>
      <c r="J73" s="61"/>
      <c r="K73" s="174"/>
      <c r="L73" s="174"/>
      <c r="M73" s="61"/>
      <c r="N73" s="175"/>
      <c r="O73" s="61"/>
      <c r="P73" s="61"/>
      <c r="Q73" s="61"/>
      <c r="R73" s="176"/>
      <c r="T73" s="5"/>
    </row>
    <row r="74" spans="2:23">
      <c r="C74" s="77"/>
      <c r="E74" s="77"/>
    </row>
    <row r="75" spans="2:23">
      <c r="C75" s="77"/>
      <c r="E75" s="77"/>
    </row>
    <row r="76" spans="2:23">
      <c r="C76" s="77"/>
    </row>
    <row r="77" spans="2:23">
      <c r="C77" s="77"/>
    </row>
    <row r="78" spans="2:23">
      <c r="C78" s="77"/>
    </row>
    <row r="80" spans="2:23">
      <c r="N80" s="219"/>
    </row>
    <row r="100" spans="1:29">
      <c r="B100" s="219"/>
    </row>
    <row r="103" spans="1:29">
      <c r="N103" s="14"/>
      <c r="P103" s="220"/>
      <c r="Q103" s="14"/>
      <c r="S103" s="221"/>
      <c r="T103" s="221"/>
      <c r="U103" s="222"/>
      <c r="V103" s="221"/>
      <c r="W103" s="221"/>
      <c r="X103" s="14"/>
      <c r="Y103" s="14"/>
      <c r="Z103" s="220"/>
      <c r="AA103" s="220"/>
      <c r="AB103" s="220"/>
      <c r="AC103" s="220"/>
    </row>
    <row r="104" spans="1:29">
      <c r="S104" s="108"/>
      <c r="T104" s="108"/>
      <c r="Z104" s="223"/>
    </row>
    <row r="105" spans="1:29">
      <c r="P105" s="220"/>
      <c r="S105" s="108"/>
      <c r="T105" s="108"/>
      <c r="W105" s="224"/>
    </row>
    <row r="107" spans="1:29" s="225" customFormat="1" ht="90.75" customHeight="1">
      <c r="B107" s="226" t="s">
        <v>201</v>
      </c>
      <c r="C107" s="226"/>
      <c r="D107" s="226"/>
      <c r="E107" s="226"/>
      <c r="F107" s="226"/>
      <c r="G107" s="226"/>
      <c r="H107" s="226"/>
      <c r="I107" s="226"/>
      <c r="J107" s="226"/>
      <c r="K107" s="226"/>
      <c r="L107" s="226"/>
      <c r="M107" s="226"/>
      <c r="N107" s="226"/>
      <c r="O107" s="226"/>
      <c r="P107" s="226"/>
      <c r="Q107" s="227"/>
      <c r="R107" s="227"/>
      <c r="S107" s="227"/>
      <c r="U107" s="228"/>
    </row>
    <row r="109" spans="1:29" customFormat="1" ht="48" customHeight="1">
      <c r="A109" s="225"/>
      <c r="B109" s="229" t="s">
        <v>202</v>
      </c>
      <c r="C109" s="229"/>
      <c r="D109" s="229"/>
      <c r="E109" s="229"/>
      <c r="F109" s="229"/>
      <c r="G109" s="229"/>
      <c r="H109" s="229"/>
      <c r="I109" s="229"/>
      <c r="J109" s="229"/>
      <c r="K109" s="229"/>
      <c r="L109" s="229"/>
      <c r="M109" s="229"/>
      <c r="N109" s="229"/>
      <c r="O109" s="229"/>
      <c r="P109" s="229"/>
      <c r="Q109" s="230"/>
      <c r="R109" s="230"/>
      <c r="S109" s="230"/>
      <c r="U109" s="231"/>
    </row>
    <row r="110" spans="1:29" customFormat="1" ht="15">
      <c r="U110" s="231"/>
    </row>
    <row r="111" spans="1:29" customFormat="1" ht="78.75" customHeight="1">
      <c r="B111" s="232" t="s">
        <v>203</v>
      </c>
      <c r="C111" s="232"/>
      <c r="D111" s="232"/>
      <c r="E111" s="232"/>
      <c r="F111" s="232"/>
      <c r="G111" s="232"/>
      <c r="H111" s="232"/>
      <c r="I111" s="232"/>
      <c r="J111" s="232"/>
      <c r="K111" s="232"/>
      <c r="L111" s="232"/>
      <c r="M111" s="232"/>
      <c r="N111" s="232"/>
      <c r="O111" s="232"/>
      <c r="P111" s="232"/>
      <c r="Q111" s="227"/>
      <c r="R111" s="227"/>
      <c r="S111" s="227"/>
      <c r="U111" s="231"/>
    </row>
    <row r="112" spans="1:29" customFormat="1" ht="15">
      <c r="U112" s="231"/>
    </row>
    <row r="113" spans="2:21" customFormat="1" ht="47.25" customHeight="1">
      <c r="B113" s="232" t="s">
        <v>204</v>
      </c>
      <c r="C113" s="232"/>
      <c r="D113" s="232"/>
      <c r="E113" s="232"/>
      <c r="F113" s="232"/>
      <c r="G113" s="232"/>
      <c r="H113" s="232"/>
      <c r="I113" s="232"/>
      <c r="J113" s="232"/>
      <c r="K113" s="232"/>
      <c r="L113" s="232"/>
      <c r="M113" s="232"/>
      <c r="N113" s="232"/>
      <c r="O113" s="232"/>
      <c r="P113" s="232"/>
      <c r="Q113" s="233"/>
      <c r="R113" s="233"/>
      <c r="S113" s="233"/>
      <c r="U113" s="231"/>
    </row>
    <row r="114" spans="2:21" customFormat="1" ht="15">
      <c r="U114" s="231"/>
    </row>
    <row r="117" spans="2:21">
      <c r="B117" s="234"/>
    </row>
    <row r="143" spans="2:2">
      <c r="B143" s="234"/>
    </row>
    <row r="145" spans="2:2">
      <c r="B145" s="220"/>
    </row>
  </sheetData>
  <mergeCells count="6">
    <mergeCell ref="V20:W20"/>
    <mergeCell ref="Y20:Z20"/>
    <mergeCell ref="B107:P107"/>
    <mergeCell ref="B109:P109"/>
    <mergeCell ref="B111:P111"/>
    <mergeCell ref="B113:P113"/>
  </mergeCells>
  <hyperlinks>
    <hyperlink ref="F3"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dimension ref="A2:AC165"/>
  <sheetViews>
    <sheetView showGridLines="0" topLeftCell="C82" zoomScaleNormal="100" workbookViewId="0">
      <selection activeCell="O170" sqref="O170"/>
    </sheetView>
  </sheetViews>
  <sheetFormatPr defaultRowHeight="11.25"/>
  <cols>
    <col min="1" max="1" width="9.140625" style="1"/>
    <col min="2" max="2" width="30.7109375" style="1" customWidth="1"/>
    <col min="3" max="3" width="10.140625" style="1" customWidth="1"/>
    <col min="4" max="10" width="7.7109375" style="1" customWidth="1"/>
    <col min="11" max="11" width="8.42578125" style="1" customWidth="1"/>
    <col min="12" max="12" width="1.28515625" style="1" customWidth="1"/>
    <col min="13" max="13" width="7.7109375" style="1" customWidth="1"/>
    <col min="14" max="14" width="9.42578125" style="1" customWidth="1"/>
    <col min="15" max="16" width="7.7109375" style="1" customWidth="1"/>
    <col min="17" max="17" width="7.5703125" style="1" customWidth="1"/>
    <col min="18" max="18" width="8.140625" style="5" customWidth="1"/>
    <col min="19" max="20" width="9.140625" style="1"/>
    <col min="21" max="21" width="9.140625" style="5"/>
    <col min="22" max="24" width="9.140625" style="1"/>
    <col min="25" max="25" width="9.28515625" style="1" customWidth="1"/>
    <col min="26" max="16384" width="9.140625" style="1"/>
  </cols>
  <sheetData>
    <row r="2" spans="2:18">
      <c r="C2" s="2" t="s">
        <v>205</v>
      </c>
      <c r="D2" s="3"/>
      <c r="F2" s="4" t="s">
        <v>206</v>
      </c>
    </row>
    <row r="3" spans="2:18">
      <c r="B3" s="6" t="s">
        <v>2</v>
      </c>
      <c r="C3" s="7" t="s">
        <v>207</v>
      </c>
      <c r="D3" s="8"/>
      <c r="F3" s="9" t="s">
        <v>208</v>
      </c>
    </row>
    <row r="4" spans="2:18">
      <c r="B4" s="10" t="s">
        <v>5</v>
      </c>
      <c r="C4" s="11" t="s">
        <v>209</v>
      </c>
      <c r="D4" s="12"/>
      <c r="F4" s="13"/>
      <c r="G4" s="14"/>
      <c r="H4" s="14"/>
    </row>
    <row r="5" spans="2:18">
      <c r="B5" s="15" t="s">
        <v>7</v>
      </c>
      <c r="C5" s="16">
        <v>169</v>
      </c>
      <c r="D5" s="17"/>
      <c r="F5" s="4" t="s">
        <v>210</v>
      </c>
    </row>
    <row r="6" spans="2:18">
      <c r="B6" s="10" t="s">
        <v>9</v>
      </c>
      <c r="C6" s="11" t="s">
        <v>211</v>
      </c>
      <c r="D6" s="12"/>
      <c r="F6" s="9" t="s">
        <v>212</v>
      </c>
    </row>
    <row r="7" spans="2:18">
      <c r="B7" s="6" t="s">
        <v>12</v>
      </c>
      <c r="C7" s="7" t="s">
        <v>148</v>
      </c>
      <c r="D7" s="8"/>
    </row>
    <row r="8" spans="2:18">
      <c r="B8" s="15" t="s">
        <v>14</v>
      </c>
      <c r="C8" s="16" t="s">
        <v>213</v>
      </c>
      <c r="D8" s="17"/>
      <c r="F8" s="4" t="s">
        <v>214</v>
      </c>
    </row>
    <row r="9" spans="2:18">
      <c r="B9" s="10" t="s">
        <v>16</v>
      </c>
      <c r="C9" s="18" t="s">
        <v>215</v>
      </c>
      <c r="D9" s="12"/>
      <c r="F9" s="9" t="s">
        <v>216</v>
      </c>
    </row>
    <row r="10" spans="2:18">
      <c r="B10" s="6" t="s">
        <v>18</v>
      </c>
      <c r="C10" s="19">
        <f>+(1375-800)/169000</f>
        <v>3.4023668639053253E-3</v>
      </c>
      <c r="D10" s="8"/>
      <c r="E10" s="13"/>
      <c r="H10" s="20" t="s">
        <v>19</v>
      </c>
      <c r="I10" s="20" t="s">
        <v>20</v>
      </c>
      <c r="J10" s="20" t="s">
        <v>21</v>
      </c>
      <c r="K10" s="20" t="s">
        <v>22</v>
      </c>
      <c r="L10" s="20"/>
      <c r="O10" s="20" t="s">
        <v>19</v>
      </c>
      <c r="P10" s="20" t="s">
        <v>20</v>
      </c>
      <c r="Q10" s="20" t="s">
        <v>21</v>
      </c>
      <c r="R10" s="20" t="s">
        <v>22</v>
      </c>
    </row>
    <row r="11" spans="2:18">
      <c r="B11" s="10" t="s">
        <v>23</v>
      </c>
      <c r="C11" s="21">
        <f>+SUMPRODUCT(G19:G93,I19:I93)/SUM(G19:G93)</f>
        <v>3.4023668639053257E-3</v>
      </c>
      <c r="D11" s="12"/>
      <c r="F11" s="22" t="s">
        <v>24</v>
      </c>
      <c r="G11" s="23"/>
      <c r="H11" s="235">
        <f>+SUMIFS(G19:G93,I19:I93,"&gt;=0,0%",I19:I93,"&lt;2,0%")</f>
        <v>52</v>
      </c>
      <c r="I11" s="25">
        <f>+H11/$C$5</f>
        <v>0.30769230769230771</v>
      </c>
      <c r="J11" s="26">
        <f>+SUMIFS(J19:J93,I19:I93,"&gt;=0,0%",I19:I93,"&lt;2,0%")</f>
        <v>6.7115691126157201E-2</v>
      </c>
      <c r="K11" s="27">
        <f>+J11/$M$91</f>
        <v>0.25291339302150828</v>
      </c>
      <c r="L11" s="28"/>
      <c r="M11" s="22" t="s">
        <v>25</v>
      </c>
      <c r="N11" s="23"/>
      <c r="O11" s="235">
        <f>+SUMIFS(G19:G93,I19:I93,"&lt;=0,0%",I19:I93,"&gt;-2,0%")</f>
        <v>13</v>
      </c>
      <c r="P11" s="25">
        <f>+O11/$C$5</f>
        <v>7.6923076923076927E-2</v>
      </c>
      <c r="Q11" s="26">
        <f>+SUMIFS(J19:J93,I19:I93,"&lt;=0,0%",I19:I93,"&gt;-2,0%")</f>
        <v>1.545479302832244E-2</v>
      </c>
      <c r="R11" s="27">
        <f>+Q11/$M$91</f>
        <v>5.8238603784783502E-2</v>
      </c>
    </row>
    <row r="12" spans="2:18">
      <c r="B12" s="15" t="s">
        <v>26</v>
      </c>
      <c r="C12" s="29">
        <f>+SUMIF(T19:T93,"&gt;0",T19:T93)/(SUMIF(I19:I93,"&gt;0",G19:G93))</f>
        <v>4.1453608247422682E-2</v>
      </c>
      <c r="D12" s="17"/>
      <c r="F12" s="30" t="s">
        <v>27</v>
      </c>
      <c r="G12" s="31"/>
      <c r="H12" s="236">
        <f>+SUMIFS(G19:G93,I19:I93,"&gt;=2,0%",I19:I93,"&lt;3,0%")</f>
        <v>1</v>
      </c>
      <c r="I12" s="28">
        <f t="shared" ref="I12:I15" si="0">+H12/$C$5</f>
        <v>5.9171597633136093E-3</v>
      </c>
      <c r="J12" s="33">
        <f>+SUMIFS(J19:J93,I19:I93,"&gt;=2,0%",I19:I93,"&lt;3,0%")</f>
        <v>1.488095238095238E-3</v>
      </c>
      <c r="K12" s="34">
        <f>+J12/$M$91</f>
        <v>5.6076188666279898E-3</v>
      </c>
      <c r="L12" s="28"/>
      <c r="M12" s="30" t="s">
        <v>28</v>
      </c>
      <c r="N12" s="31"/>
      <c r="O12" s="236">
        <f>+SUMIFS(G19:G93,I19:I93,"&lt;=-2,0%",I19:I93,"&gt;-3,0%")</f>
        <v>0</v>
      </c>
      <c r="P12" s="28">
        <f t="shared" ref="P12:P15" si="1">+O12/$C$5</f>
        <v>0</v>
      </c>
      <c r="Q12" s="33">
        <f>+SUMIFS(J19:J93,I19:I93,"&lt;=-2,0%",I19:I93,"&gt;-3,0%")</f>
        <v>0</v>
      </c>
      <c r="R12" s="34">
        <f>+Q12/$M$91</f>
        <v>0</v>
      </c>
    </row>
    <row r="13" spans="2:18">
      <c r="B13" s="10" t="s">
        <v>29</v>
      </c>
      <c r="C13" s="35">
        <f>+SUMIF(I19:I93,"&gt;0",G19:G93)</f>
        <v>97</v>
      </c>
      <c r="D13" s="12"/>
      <c r="F13" s="36" t="s">
        <v>30</v>
      </c>
      <c r="G13" s="37"/>
      <c r="H13" s="237">
        <f>+SUMIFS(G19:G93,I19:I93,"&gt;=3,0%",I19:I93,"&lt;5,0%")</f>
        <v>0</v>
      </c>
      <c r="I13" s="39">
        <f t="shared" si="0"/>
        <v>0</v>
      </c>
      <c r="J13" s="40">
        <f>+SUMIFS(J19:J93,I19:I93,"&gt;=3,0%",I19:I93,"&lt;5,0%")</f>
        <v>0</v>
      </c>
      <c r="K13" s="41">
        <f>+J13/$M$91</f>
        <v>0</v>
      </c>
      <c r="L13" s="28"/>
      <c r="M13" s="42" t="s">
        <v>31</v>
      </c>
      <c r="N13" s="43"/>
      <c r="O13" s="238">
        <f>+SUMIFS(G19:G93,I19:I93,"&lt;=-3,0%",I19:I93,"&gt;-5,0%")</f>
        <v>31.5</v>
      </c>
      <c r="P13" s="45">
        <f t="shared" si="1"/>
        <v>0.18639053254437871</v>
      </c>
      <c r="Q13" s="46">
        <f>+SUMIFS(J19:J93,I19:I93,"&lt;=-3,0%",I19:I93,"&gt;-5,0%")</f>
        <v>3.1753403289846847E-2</v>
      </c>
      <c r="R13" s="47">
        <f>+Q13/$M$91</f>
        <v>0.11965698082315654</v>
      </c>
    </row>
    <row r="14" spans="2:18">
      <c r="B14" s="15" t="s">
        <v>32</v>
      </c>
      <c r="C14" s="29">
        <f>+SUMIF(T19:T93,"&lt;0",T19:T93)/(SUMIF(I19:I93,"&lt;0",G19:G93))</f>
        <v>-4.7861111111111118E-2</v>
      </c>
      <c r="D14" s="17"/>
      <c r="F14" s="48" t="s">
        <v>33</v>
      </c>
      <c r="G14" s="49"/>
      <c r="H14" s="239">
        <f>+SUMIFS(G19:G93,I19:I93,"&gt;=5%",I19:I93,"&lt;7%")</f>
        <v>22.5</v>
      </c>
      <c r="I14" s="51">
        <f t="shared" si="0"/>
        <v>0.13313609467455623</v>
      </c>
      <c r="J14" s="52">
        <f>+SUMIFS(J19:J93,I19:I93,"&gt;=5%",I19:I93,"&lt;7%")</f>
        <v>4.9277639486749271E-2</v>
      </c>
      <c r="K14" s="53">
        <f>+J14/$M$91</f>
        <v>0.18569390843726527</v>
      </c>
      <c r="L14" s="28"/>
      <c r="M14" s="54" t="s">
        <v>34</v>
      </c>
      <c r="N14" s="55"/>
      <c r="O14" s="240">
        <f>+SUMIFS(G19:G93,I19:I93,"&lt;=-5%",I19:I93,"&gt;-7%")</f>
        <v>15</v>
      </c>
      <c r="P14" s="57">
        <f t="shared" si="1"/>
        <v>8.8757396449704137E-2</v>
      </c>
      <c r="Q14" s="58">
        <f>+SUMIFS(J19:J93,I19:I93,"&lt;=-5%",I19:I93,"&gt;-7%")</f>
        <v>1.3297872340425532E-2</v>
      </c>
      <c r="R14" s="59">
        <f>+Q14/$M$91</f>
        <v>5.0110636680505444E-2</v>
      </c>
    </row>
    <row r="15" spans="2:18">
      <c r="B15" s="10" t="s">
        <v>35</v>
      </c>
      <c r="C15" s="35">
        <f>+SUMIF(I19:I93,"&lt;0",G19:G93)</f>
        <v>72</v>
      </c>
      <c r="D15" s="12"/>
      <c r="F15" s="60" t="s">
        <v>36</v>
      </c>
      <c r="G15" s="61"/>
      <c r="H15" s="241">
        <f>+SUMIFS(G19:G93,I19:I93,"&gt;=7%")</f>
        <v>21.5</v>
      </c>
      <c r="I15" s="63">
        <f t="shared" si="0"/>
        <v>0.12721893491124261</v>
      </c>
      <c r="J15" s="64">
        <f>+SUMIFS(J19:J93,I19:I93,"&gt;=7%")</f>
        <v>7.7083333333333337E-2</v>
      </c>
      <c r="K15" s="65">
        <f>+J15/$M$91</f>
        <v>0.29047465729132987</v>
      </c>
      <c r="L15" s="66"/>
      <c r="M15" s="67" t="s">
        <v>37</v>
      </c>
      <c r="N15" s="68"/>
      <c r="O15" s="242">
        <f>+SUMIFS(G19:G93,I19:I93,"&lt;=-7%")</f>
        <v>12.5</v>
      </c>
      <c r="P15" s="70">
        <f t="shared" si="1"/>
        <v>7.3964497041420121E-2</v>
      </c>
      <c r="Q15" s="71">
        <f>+SUMIFS(J19:J93,I19:I93,"&lt;=-7%")</f>
        <v>9.8994252873563227E-3</v>
      </c>
      <c r="R15" s="72">
        <f>+Q15/$M$91</f>
        <v>3.7304201094823165E-2</v>
      </c>
    </row>
    <row r="16" spans="2:18">
      <c r="H16" s="243">
        <f>+SUM(H11:H15)</f>
        <v>97</v>
      </c>
      <c r="I16" s="74">
        <f>+SUM(I11:I15)</f>
        <v>0.57396449704142016</v>
      </c>
      <c r="J16" s="75">
        <f>+SUM(J11:J15)</f>
        <v>0.19496475918433503</v>
      </c>
      <c r="K16" s="74">
        <f>+SUM(K11:K15)</f>
        <v>0.73468957761673148</v>
      </c>
      <c r="L16" s="76"/>
      <c r="O16" s="243">
        <f>+SUM(O11:O15)</f>
        <v>72</v>
      </c>
      <c r="P16" s="74">
        <f>+SUM(P11:P15)</f>
        <v>0.42603550295857989</v>
      </c>
      <c r="Q16" s="75">
        <f>+SUM(Q11:Q15)</f>
        <v>7.0405493945951136E-2</v>
      </c>
      <c r="R16" s="74">
        <f>+SUM(R11:R15)</f>
        <v>0.26531042238326863</v>
      </c>
    </row>
    <row r="17" spans="2:26">
      <c r="C17" s="77"/>
    </row>
    <row r="18" spans="2:26">
      <c r="B18" s="78" t="s">
        <v>38</v>
      </c>
      <c r="C18" s="78" t="s">
        <v>39</v>
      </c>
      <c r="D18" s="78" t="s">
        <v>40</v>
      </c>
      <c r="E18" s="78" t="s">
        <v>41</v>
      </c>
      <c r="F18" s="78" t="s">
        <v>42</v>
      </c>
      <c r="G18" s="79" t="s">
        <v>43</v>
      </c>
      <c r="H18" s="79" t="s">
        <v>44</v>
      </c>
      <c r="I18" s="80" t="s">
        <v>45</v>
      </c>
      <c r="J18" s="81" t="s">
        <v>46</v>
      </c>
      <c r="K18" s="82" t="s">
        <v>47</v>
      </c>
      <c r="L18" s="82"/>
      <c r="M18" s="82" t="s">
        <v>48</v>
      </c>
      <c r="N18" s="83" t="s">
        <v>22</v>
      </c>
      <c r="O18" s="81" t="s">
        <v>49</v>
      </c>
      <c r="P18" s="82" t="s">
        <v>50</v>
      </c>
      <c r="Q18" s="82" t="s">
        <v>51</v>
      </c>
      <c r="R18" s="83" t="s">
        <v>22</v>
      </c>
      <c r="T18" s="5"/>
    </row>
    <row r="19" spans="2:26">
      <c r="B19" s="84" t="s">
        <v>217</v>
      </c>
      <c r="C19" s="85">
        <v>0</v>
      </c>
      <c r="D19" s="85">
        <v>12</v>
      </c>
      <c r="E19" s="86">
        <v>800</v>
      </c>
      <c r="F19" s="86">
        <v>950</v>
      </c>
      <c r="G19" s="85">
        <f>+D19-C19</f>
        <v>12</v>
      </c>
      <c r="H19" s="85">
        <f>+F19-E19</f>
        <v>150</v>
      </c>
      <c r="I19" s="87">
        <f>+H19/(G19*1000)</f>
        <v>1.2500000000000001E-2</v>
      </c>
      <c r="J19" s="88">
        <f>+($D19-$C19)/K19/24</f>
        <v>1.6129032258064516E-2</v>
      </c>
      <c r="K19" s="89">
        <v>31</v>
      </c>
      <c r="L19" s="89"/>
      <c r="M19" s="88">
        <f>+J19</f>
        <v>1.6129032258064516E-2</v>
      </c>
      <c r="N19" s="90">
        <f>+J19/$M$91</f>
        <v>6.0779352877000148E-2</v>
      </c>
      <c r="O19" s="88">
        <f>+($D19-$C19)/P19/24</f>
        <v>1.9230769230769232E-2</v>
      </c>
      <c r="P19" s="89">
        <f>+K19-5</f>
        <v>26</v>
      </c>
      <c r="Q19" s="88">
        <f>+O19</f>
        <v>1.9230769230769232E-2</v>
      </c>
      <c r="R19" s="91">
        <f>+O19/$Q$91</f>
        <v>5.1978136847531886E-2</v>
      </c>
      <c r="T19" s="5">
        <f>+I19*G19</f>
        <v>0.15000000000000002</v>
      </c>
      <c r="U19" s="92">
        <f>+G19</f>
        <v>12</v>
      </c>
      <c r="V19" s="186"/>
      <c r="W19" s="187"/>
    </row>
    <row r="20" spans="2:26">
      <c r="B20" s="30" t="s">
        <v>218</v>
      </c>
      <c r="C20" s="93" t="s">
        <v>219</v>
      </c>
      <c r="D20" s="94"/>
      <c r="E20" s="31"/>
      <c r="F20" s="31"/>
      <c r="G20" s="31"/>
      <c r="H20" s="31"/>
      <c r="I20" s="31"/>
      <c r="J20" s="31"/>
      <c r="K20" s="95"/>
      <c r="L20" s="95"/>
      <c r="M20" s="31"/>
      <c r="N20" s="96"/>
      <c r="O20" s="31"/>
      <c r="P20" s="31"/>
      <c r="Q20" s="31"/>
      <c r="R20" s="97"/>
      <c r="T20" s="5"/>
    </row>
    <row r="21" spans="2:26">
      <c r="B21" s="135" t="s">
        <v>75</v>
      </c>
      <c r="C21" s="99" t="s">
        <v>55</v>
      </c>
      <c r="D21" s="100"/>
      <c r="E21" s="101"/>
      <c r="F21" s="101"/>
      <c r="G21" s="101"/>
      <c r="H21" s="101"/>
      <c r="I21" s="101"/>
      <c r="J21" s="101"/>
      <c r="K21" s="102"/>
      <c r="L21" s="102"/>
      <c r="M21" s="101"/>
      <c r="N21" s="103"/>
      <c r="O21" s="101"/>
      <c r="P21" s="101"/>
      <c r="Q21" s="101"/>
      <c r="R21" s="104"/>
      <c r="T21" s="5"/>
    </row>
    <row r="22" spans="2:26" s="106" customFormat="1" ht="4.5" customHeight="1">
      <c r="B22" s="105"/>
      <c r="C22" s="93"/>
      <c r="D22" s="94"/>
      <c r="E22" s="31"/>
      <c r="F22" s="31"/>
      <c r="G22" s="31"/>
      <c r="H22" s="31"/>
      <c r="I22" s="31"/>
      <c r="J22" s="31"/>
      <c r="K22" s="95"/>
      <c r="L22" s="95"/>
      <c r="M22" s="31"/>
      <c r="N22" s="96"/>
      <c r="O22" s="31"/>
      <c r="P22" s="31"/>
      <c r="Q22" s="31"/>
      <c r="R22" s="96"/>
      <c r="T22" s="107"/>
      <c r="U22" s="107"/>
    </row>
    <row r="23" spans="2:26">
      <c r="B23" s="272" t="s">
        <v>220</v>
      </c>
      <c r="C23" s="273">
        <f>+D19</f>
        <v>12</v>
      </c>
      <c r="D23" s="273">
        <v>26</v>
      </c>
      <c r="E23" s="274">
        <f>+F19</f>
        <v>950</v>
      </c>
      <c r="F23" s="274">
        <v>481</v>
      </c>
      <c r="G23" s="273">
        <f>+D23-C23</f>
        <v>14</v>
      </c>
      <c r="H23" s="273">
        <f>+F23-E23</f>
        <v>-469</v>
      </c>
      <c r="I23" s="275">
        <f>+H23/(G23*1000)</f>
        <v>-3.3500000000000002E-2</v>
      </c>
      <c r="J23" s="276">
        <f>+($D23-$C23)/K23/24</f>
        <v>1.4583333333333332E-2</v>
      </c>
      <c r="K23" s="277">
        <v>40</v>
      </c>
      <c r="L23" s="277"/>
      <c r="M23" s="276">
        <f>+M19+J23</f>
        <v>3.0712365591397846E-2</v>
      </c>
      <c r="N23" s="278">
        <f>+J23/$M$91</f>
        <v>5.4954664892954294E-2</v>
      </c>
      <c r="O23" s="276">
        <f>+($D23-$C23)/P23/24</f>
        <v>1.6666666666666666E-2</v>
      </c>
      <c r="P23" s="279">
        <f>+K23-5</f>
        <v>35</v>
      </c>
      <c r="Q23" s="276">
        <f>+Q19+O23</f>
        <v>3.5897435897435895E-2</v>
      </c>
      <c r="R23" s="280">
        <f>+O23/$Q$91</f>
        <v>4.5047718601194303E-2</v>
      </c>
      <c r="T23" s="5">
        <f>+I23*G23</f>
        <v>-0.46900000000000003</v>
      </c>
      <c r="U23" s="92">
        <f>+U19+G23</f>
        <v>26</v>
      </c>
      <c r="V23" s="186"/>
      <c r="W23" s="187"/>
    </row>
    <row r="24" spans="2:26">
      <c r="B24" s="281" t="s">
        <v>221</v>
      </c>
      <c r="C24" s="282" t="s">
        <v>222</v>
      </c>
      <c r="D24" s="283"/>
      <c r="E24" s="284"/>
      <c r="F24" s="284"/>
      <c r="G24" s="284"/>
      <c r="H24" s="284"/>
      <c r="I24" s="284"/>
      <c r="J24" s="284"/>
      <c r="K24" s="285"/>
      <c r="L24" s="285"/>
      <c r="M24" s="284"/>
      <c r="N24" s="286"/>
      <c r="O24" s="284"/>
      <c r="P24" s="284"/>
      <c r="Q24" s="284"/>
      <c r="R24" s="287"/>
      <c r="T24" s="5"/>
    </row>
    <row r="25" spans="2:26">
      <c r="B25" s="288"/>
      <c r="C25" s="289" t="s">
        <v>223</v>
      </c>
      <c r="D25" s="290"/>
      <c r="E25" s="291"/>
      <c r="F25" s="291"/>
      <c r="G25" s="291"/>
      <c r="H25" s="291"/>
      <c r="I25" s="291"/>
      <c r="J25" s="291"/>
      <c r="K25" s="292"/>
      <c r="L25" s="292"/>
      <c r="M25" s="291"/>
      <c r="N25" s="293"/>
      <c r="O25" s="291"/>
      <c r="P25" s="291"/>
      <c r="Q25" s="291"/>
      <c r="R25" s="294"/>
      <c r="T25" s="5"/>
    </row>
    <row r="26" spans="2:26" s="106" customFormat="1" ht="4.5" customHeight="1">
      <c r="B26" s="105"/>
      <c r="C26" s="93"/>
      <c r="D26" s="94"/>
      <c r="E26" s="31"/>
      <c r="F26" s="31"/>
      <c r="G26" s="31"/>
      <c r="H26" s="31"/>
      <c r="I26" s="31"/>
      <c r="J26" s="31"/>
      <c r="K26" s="95"/>
      <c r="L26" s="95"/>
      <c r="M26" s="31"/>
      <c r="N26" s="96"/>
      <c r="O26" s="31"/>
      <c r="P26" s="31"/>
      <c r="Q26" s="31"/>
      <c r="R26" s="96"/>
      <c r="T26" s="107"/>
      <c r="U26" s="107"/>
    </row>
    <row r="27" spans="2:26">
      <c r="B27" s="84" t="s">
        <v>224</v>
      </c>
      <c r="C27" s="85">
        <f>+D23</f>
        <v>26</v>
      </c>
      <c r="D27" s="85">
        <v>32</v>
      </c>
      <c r="E27" s="86">
        <f>+F23</f>
        <v>481</v>
      </c>
      <c r="F27" s="86">
        <v>453</v>
      </c>
      <c r="G27" s="85">
        <f>+D27-C27</f>
        <v>6</v>
      </c>
      <c r="H27" s="85">
        <f>+F27-E27</f>
        <v>-28</v>
      </c>
      <c r="I27" s="87">
        <f>+H27/(G27*1000)</f>
        <v>-4.6666666666666671E-3</v>
      </c>
      <c r="J27" s="88">
        <f>+($D27-$C27)/K27/24</f>
        <v>7.352941176470589E-3</v>
      </c>
      <c r="K27" s="89">
        <v>34</v>
      </c>
      <c r="L27" s="89"/>
      <c r="M27" s="88">
        <f>+M23+J27</f>
        <v>3.8065306767868436E-2</v>
      </c>
      <c r="N27" s="90">
        <f>+J27/$M$91</f>
        <v>2.7708234399808893E-2</v>
      </c>
      <c r="O27" s="88">
        <f>+($D27-$C27)/P27/24</f>
        <v>8.6206896551724137E-3</v>
      </c>
      <c r="P27" s="89">
        <f>+K27-5</f>
        <v>29</v>
      </c>
      <c r="Q27" s="88">
        <f>+Q23+O27</f>
        <v>4.4518125552608312E-2</v>
      </c>
      <c r="R27" s="91">
        <f>+O27/$Q$91</f>
        <v>2.3300544104066019E-2</v>
      </c>
      <c r="T27" s="5">
        <f>+I27*G27</f>
        <v>-2.8000000000000004E-2</v>
      </c>
      <c r="U27" s="92">
        <f>+U23+G27</f>
        <v>32</v>
      </c>
      <c r="V27" s="186"/>
      <c r="W27" s="187"/>
    </row>
    <row r="28" spans="2:26">
      <c r="B28" s="30" t="s">
        <v>225</v>
      </c>
      <c r="C28" s="93" t="s">
        <v>81</v>
      </c>
      <c r="D28" s="94"/>
      <c r="E28" s="31"/>
      <c r="F28" s="31"/>
      <c r="G28" s="31"/>
      <c r="H28" s="31"/>
      <c r="I28" s="31"/>
      <c r="J28" s="31"/>
      <c r="K28" s="95"/>
      <c r="L28" s="95"/>
      <c r="M28" s="31"/>
      <c r="N28" s="96"/>
      <c r="O28" s="31"/>
      <c r="P28" s="31"/>
      <c r="Q28" s="31"/>
      <c r="R28" s="97"/>
      <c r="T28" s="5"/>
      <c r="V28" s="124" t="s">
        <v>59</v>
      </c>
      <c r="W28" s="125"/>
      <c r="Y28" s="124" t="s">
        <v>60</v>
      </c>
      <c r="Z28" s="125"/>
    </row>
    <row r="29" spans="2:26">
      <c r="B29" s="135"/>
      <c r="C29" s="99" t="s">
        <v>226</v>
      </c>
      <c r="D29" s="100"/>
      <c r="E29" s="101"/>
      <c r="F29" s="101"/>
      <c r="G29" s="101"/>
      <c r="H29" s="101"/>
      <c r="I29" s="101"/>
      <c r="J29" s="101"/>
      <c r="K29" s="102"/>
      <c r="L29" s="102"/>
      <c r="M29" s="101"/>
      <c r="N29" s="103"/>
      <c r="O29" s="101"/>
      <c r="P29" s="101"/>
      <c r="Q29" s="101"/>
      <c r="R29" s="104"/>
      <c r="T29" s="5"/>
      <c r="V29" s="1" t="s">
        <v>62</v>
      </c>
      <c r="W29" s="108">
        <v>34</v>
      </c>
      <c r="Y29" s="1" t="s">
        <v>62</v>
      </c>
      <c r="Z29" s="108">
        <v>34</v>
      </c>
    </row>
    <row r="30" spans="2:26" s="106" customFormat="1" ht="4.5" customHeight="1">
      <c r="B30" s="105"/>
      <c r="C30" s="93"/>
      <c r="D30" s="94"/>
      <c r="E30" s="31"/>
      <c r="F30" s="31"/>
      <c r="G30" s="31"/>
      <c r="H30" s="31"/>
      <c r="I30" s="31"/>
      <c r="J30" s="31"/>
      <c r="K30" s="95"/>
      <c r="L30" s="95"/>
      <c r="M30" s="31"/>
      <c r="N30" s="96"/>
      <c r="O30" s="31"/>
      <c r="P30" s="31"/>
      <c r="Q30" s="31"/>
      <c r="R30" s="96"/>
      <c r="T30" s="107"/>
      <c r="U30" s="107"/>
      <c r="W30" s="133"/>
      <c r="Z30" s="133"/>
    </row>
    <row r="31" spans="2:26">
      <c r="B31" s="84" t="s">
        <v>227</v>
      </c>
      <c r="C31" s="85">
        <f>+D27</f>
        <v>32</v>
      </c>
      <c r="D31" s="85">
        <v>37</v>
      </c>
      <c r="E31" s="86">
        <f>+F27</f>
        <v>453</v>
      </c>
      <c r="F31" s="86">
        <v>550</v>
      </c>
      <c r="G31" s="85">
        <f>+D31-C31</f>
        <v>5</v>
      </c>
      <c r="H31" s="85">
        <f>+F31-E31</f>
        <v>97</v>
      </c>
      <c r="I31" s="87">
        <f>+H31/(G31*1000)</f>
        <v>1.9400000000000001E-2</v>
      </c>
      <c r="J31" s="88">
        <f>+($D31-$C31)/K31/24</f>
        <v>6.9444444444444441E-3</v>
      </c>
      <c r="K31" s="89">
        <v>30</v>
      </c>
      <c r="L31" s="89"/>
      <c r="M31" s="88">
        <f>+M27+J31</f>
        <v>4.5009751212312876E-2</v>
      </c>
      <c r="N31" s="90">
        <f>+J31/$M$91</f>
        <v>2.6168888044263951E-2</v>
      </c>
      <c r="O31" s="88">
        <f>+($D31-$C31)/P31/24</f>
        <v>8.3333333333333332E-3</v>
      </c>
      <c r="P31" s="89">
        <f>+K31-5</f>
        <v>25</v>
      </c>
      <c r="Q31" s="88">
        <f>+Q27+O31</f>
        <v>5.2851458885941643E-2</v>
      </c>
      <c r="R31" s="91">
        <f>+O31/$Q$91</f>
        <v>2.2523859300597152E-2</v>
      </c>
      <c r="T31" s="5">
        <f>+I31*G31</f>
        <v>9.7000000000000003E-2</v>
      </c>
      <c r="U31" s="92">
        <f>+U27+G31</f>
        <v>37</v>
      </c>
      <c r="V31" s="1" t="s">
        <v>64</v>
      </c>
      <c r="W31" s="108">
        <f>+W29-1.25</f>
        <v>32.75</v>
      </c>
      <c r="Y31" s="1" t="s">
        <v>64</v>
      </c>
      <c r="Z31" s="108">
        <f>+Z29+1</f>
        <v>35</v>
      </c>
    </row>
    <row r="32" spans="2:26">
      <c r="B32" s="30" t="s">
        <v>228</v>
      </c>
      <c r="C32" s="93" t="s">
        <v>229</v>
      </c>
      <c r="D32" s="295"/>
      <c r="E32" s="31"/>
      <c r="F32" s="31"/>
      <c r="G32" s="31"/>
      <c r="H32" s="31"/>
      <c r="I32" s="31"/>
      <c r="J32" s="31"/>
      <c r="K32" s="95"/>
      <c r="L32" s="95"/>
      <c r="M32" s="31"/>
      <c r="N32" s="96"/>
      <c r="O32" s="31"/>
      <c r="P32" s="31"/>
      <c r="Q32" s="31"/>
      <c r="R32" s="97"/>
      <c r="T32" s="5"/>
      <c r="V32" s="1" t="s">
        <v>67</v>
      </c>
      <c r="W32" s="108">
        <f>+W31-1.25</f>
        <v>31.5</v>
      </c>
      <c r="Y32" s="1" t="s">
        <v>67</v>
      </c>
      <c r="Z32" s="108">
        <f>+Z31+1</f>
        <v>36</v>
      </c>
    </row>
    <row r="33" spans="2:26">
      <c r="B33" s="135"/>
      <c r="C33" s="99" t="s">
        <v>230</v>
      </c>
      <c r="D33" s="100"/>
      <c r="E33" s="101"/>
      <c r="F33" s="101"/>
      <c r="G33" s="101"/>
      <c r="H33" s="101"/>
      <c r="I33" s="101"/>
      <c r="J33" s="101"/>
      <c r="K33" s="102"/>
      <c r="L33" s="102"/>
      <c r="M33" s="101"/>
      <c r="N33" s="103"/>
      <c r="O33" s="101"/>
      <c r="P33" s="101"/>
      <c r="Q33" s="101"/>
      <c r="R33" s="104"/>
      <c r="T33" s="5"/>
      <c r="U33" s="296"/>
      <c r="V33" s="1" t="s">
        <v>69</v>
      </c>
      <c r="W33" s="108">
        <f>+W32-1.25</f>
        <v>30.25</v>
      </c>
      <c r="Y33" s="1" t="s">
        <v>69</v>
      </c>
      <c r="Z33" s="108">
        <f>+Z32+1</f>
        <v>37</v>
      </c>
    </row>
    <row r="34" spans="2:26" s="106" customFormat="1" ht="4.5" customHeight="1">
      <c r="B34" s="105"/>
      <c r="C34" s="93"/>
      <c r="D34" s="94"/>
      <c r="E34" s="31"/>
      <c r="F34" s="31"/>
      <c r="G34" s="31"/>
      <c r="H34" s="31"/>
      <c r="I34" s="31"/>
      <c r="J34" s="31"/>
      <c r="K34" s="95"/>
      <c r="L34" s="95"/>
      <c r="M34" s="31"/>
      <c r="N34" s="96"/>
      <c r="O34" s="31"/>
      <c r="P34" s="31"/>
      <c r="Q34" s="31"/>
      <c r="R34" s="96"/>
      <c r="T34" s="107"/>
      <c r="U34" s="107"/>
      <c r="W34" s="133"/>
      <c r="Z34" s="133"/>
    </row>
    <row r="35" spans="2:26">
      <c r="B35" s="84" t="s">
        <v>231</v>
      </c>
      <c r="C35" s="85">
        <f>+D31</f>
        <v>37</v>
      </c>
      <c r="D35" s="85">
        <v>49</v>
      </c>
      <c r="E35" s="86">
        <f>+F31</f>
        <v>550</v>
      </c>
      <c r="F35" s="86">
        <v>656</v>
      </c>
      <c r="G35" s="85">
        <f>+D35-C35</f>
        <v>12</v>
      </c>
      <c r="H35" s="85">
        <f>+F35-E35</f>
        <v>106</v>
      </c>
      <c r="I35" s="87">
        <f>+H35/(G35*1000)</f>
        <v>8.8333333333333337E-3</v>
      </c>
      <c r="J35" s="88">
        <f>+($D35-$C35)/K35/24</f>
        <v>1.4705882352941178E-2</v>
      </c>
      <c r="K35" s="89">
        <v>34</v>
      </c>
      <c r="L35" s="89"/>
      <c r="M35" s="88">
        <f>+M31+J35</f>
        <v>5.9715633565254056E-2</v>
      </c>
      <c r="N35" s="90">
        <f>+J35/$M$91</f>
        <v>5.5416468799617785E-2</v>
      </c>
      <c r="O35" s="88">
        <f>+($D35-$C35)/P35/24</f>
        <v>1.7241379310344827E-2</v>
      </c>
      <c r="P35" s="89">
        <f>+K35-5</f>
        <v>29</v>
      </c>
      <c r="Q35" s="88">
        <f>+Q31+O35</f>
        <v>7.0092838196286478E-2</v>
      </c>
      <c r="R35" s="91">
        <f>+O35/$Q$91</f>
        <v>4.6601088208132038E-2</v>
      </c>
      <c r="T35" s="5">
        <f>+I35*G35</f>
        <v>0.10600000000000001</v>
      </c>
      <c r="U35" s="92">
        <f>+U31+G35</f>
        <v>49</v>
      </c>
      <c r="V35" s="1" t="s">
        <v>71</v>
      </c>
      <c r="W35" s="108">
        <f>+W33-1.25</f>
        <v>29</v>
      </c>
      <c r="Y35" s="1" t="s">
        <v>71</v>
      </c>
      <c r="Z35" s="108">
        <f>+Z33+1</f>
        <v>38</v>
      </c>
    </row>
    <row r="36" spans="2:26">
      <c r="B36" s="30" t="s">
        <v>218</v>
      </c>
      <c r="C36" s="93" t="s">
        <v>229</v>
      </c>
      <c r="D36" s="295"/>
      <c r="E36" s="31"/>
      <c r="F36" s="31"/>
      <c r="G36" s="31"/>
      <c r="H36" s="31"/>
      <c r="I36" s="31"/>
      <c r="J36" s="31"/>
      <c r="K36" s="95"/>
      <c r="L36" s="95"/>
      <c r="M36" s="31"/>
      <c r="N36" s="96"/>
      <c r="O36" s="31"/>
      <c r="P36" s="31"/>
      <c r="Q36" s="31"/>
      <c r="R36" s="97"/>
      <c r="T36" s="5"/>
      <c r="V36" s="1" t="s">
        <v>74</v>
      </c>
      <c r="W36" s="108">
        <f>+W35-1.25</f>
        <v>27.75</v>
      </c>
      <c r="Y36" s="1" t="s">
        <v>74</v>
      </c>
      <c r="Z36" s="108">
        <f>+Z35+1</f>
        <v>39</v>
      </c>
    </row>
    <row r="37" spans="2:26" ht="12" customHeight="1">
      <c r="B37" s="135"/>
      <c r="C37" s="99" t="s">
        <v>232</v>
      </c>
      <c r="D37" s="100"/>
      <c r="E37" s="101"/>
      <c r="F37" s="101"/>
      <c r="G37" s="101"/>
      <c r="H37" s="101"/>
      <c r="I37" s="101"/>
      <c r="J37" s="101"/>
      <c r="K37" s="102"/>
      <c r="L37" s="102"/>
      <c r="M37" s="101"/>
      <c r="N37" s="103"/>
      <c r="O37" s="101"/>
      <c r="P37" s="101"/>
      <c r="Q37" s="101"/>
      <c r="R37" s="104"/>
      <c r="T37" s="5"/>
      <c r="V37" s="1" t="s">
        <v>77</v>
      </c>
      <c r="W37" s="108">
        <f>+W36-1.25</f>
        <v>26.5</v>
      </c>
      <c r="Y37" s="1" t="s">
        <v>77</v>
      </c>
      <c r="Z37" s="108">
        <f>+Z36+1</f>
        <v>40</v>
      </c>
    </row>
    <row r="38" spans="2:26" s="106" customFormat="1" ht="4.5" customHeight="1">
      <c r="B38" s="105"/>
      <c r="C38" s="93"/>
      <c r="D38" s="94"/>
      <c r="E38" s="31"/>
      <c r="F38" s="31"/>
      <c r="G38" s="31"/>
      <c r="H38" s="31"/>
      <c r="I38" s="31"/>
      <c r="J38" s="31"/>
      <c r="K38" s="95"/>
      <c r="L38" s="95"/>
      <c r="M38" s="31"/>
      <c r="N38" s="96"/>
      <c r="O38" s="31"/>
      <c r="P38" s="31"/>
      <c r="Q38" s="31"/>
      <c r="R38" s="96"/>
      <c r="T38" s="107"/>
      <c r="U38" s="107"/>
      <c r="W38" s="133"/>
      <c r="Z38" s="133"/>
    </row>
    <row r="39" spans="2:26">
      <c r="B39" s="157" t="s">
        <v>233</v>
      </c>
      <c r="C39" s="158">
        <f>+D35</f>
        <v>49</v>
      </c>
      <c r="D39" s="158">
        <v>61.5</v>
      </c>
      <c r="E39" s="159">
        <f>+F35</f>
        <v>656</v>
      </c>
      <c r="F39" s="159">
        <v>1993</v>
      </c>
      <c r="G39" s="158">
        <f>+D39-C39</f>
        <v>12.5</v>
      </c>
      <c r="H39" s="158">
        <f>+F39-E39</f>
        <v>1337</v>
      </c>
      <c r="I39" s="160">
        <f>+H39/(G39*1000)</f>
        <v>0.10696</v>
      </c>
      <c r="J39" s="161">
        <f>+($D39-$C39)/K39/24</f>
        <v>5.2083333333333336E-2</v>
      </c>
      <c r="K39" s="162">
        <v>10</v>
      </c>
      <c r="L39" s="162"/>
      <c r="M39" s="161">
        <f>+M35+J39</f>
        <v>0.1117989668985874</v>
      </c>
      <c r="N39" s="163">
        <f>+J39/$M$91</f>
        <v>0.19626666033197965</v>
      </c>
      <c r="O39" s="161">
        <f>+($D39-$C39)/P39/24</f>
        <v>0.10416666666666667</v>
      </c>
      <c r="P39" s="164">
        <f>+K39-5</f>
        <v>5</v>
      </c>
      <c r="Q39" s="161">
        <f>+Q35+O39</f>
        <v>0.17425950486295316</v>
      </c>
      <c r="R39" s="165">
        <f>+O39/$Q$91</f>
        <v>0.28154824125746442</v>
      </c>
      <c r="T39" s="5">
        <f>+I39*G39</f>
        <v>1.337</v>
      </c>
      <c r="U39" s="92">
        <f>+U35+G39</f>
        <v>61.5</v>
      </c>
      <c r="V39" s="1" t="s">
        <v>79</v>
      </c>
      <c r="W39" s="108">
        <f>+W37-1.25</f>
        <v>25.25</v>
      </c>
      <c r="Y39" s="1" t="s">
        <v>79</v>
      </c>
      <c r="Z39" s="108">
        <f>+Z37+1</f>
        <v>41</v>
      </c>
    </row>
    <row r="40" spans="2:26">
      <c r="B40" s="166" t="s">
        <v>234</v>
      </c>
      <c r="C40" s="251" t="s">
        <v>235</v>
      </c>
      <c r="D40" s="168"/>
      <c r="E40" s="167"/>
      <c r="F40" s="167"/>
      <c r="G40" s="167"/>
      <c r="H40" s="167"/>
      <c r="I40" s="167"/>
      <c r="J40" s="167"/>
      <c r="K40" s="169"/>
      <c r="L40" s="169"/>
      <c r="M40" s="167"/>
      <c r="N40" s="170"/>
      <c r="O40" s="167"/>
      <c r="P40" s="167"/>
      <c r="Q40" s="167"/>
      <c r="R40" s="171"/>
      <c r="T40" s="5"/>
      <c r="V40" s="1" t="s">
        <v>82</v>
      </c>
      <c r="W40" s="108">
        <f>+W39-1.25</f>
        <v>24</v>
      </c>
      <c r="Y40" s="1" t="s">
        <v>82</v>
      </c>
      <c r="Z40" s="108">
        <f>+Z39+1</f>
        <v>42</v>
      </c>
    </row>
    <row r="41" spans="2:26">
      <c r="B41" s="60"/>
      <c r="C41" s="252" t="s">
        <v>236</v>
      </c>
      <c r="D41" s="173"/>
      <c r="E41" s="61"/>
      <c r="F41" s="61"/>
      <c r="G41" s="61"/>
      <c r="H41" s="61"/>
      <c r="I41" s="61"/>
      <c r="J41" s="61"/>
      <c r="K41" s="174"/>
      <c r="L41" s="174"/>
      <c r="M41" s="61"/>
      <c r="N41" s="175"/>
      <c r="O41" s="61"/>
      <c r="P41" s="61"/>
      <c r="Q41" s="61"/>
      <c r="R41" s="176"/>
      <c r="T41" s="5"/>
      <c r="V41" s="1" t="s">
        <v>84</v>
      </c>
      <c r="W41" s="108">
        <f>+W40-1.25</f>
        <v>22.75</v>
      </c>
      <c r="Y41" s="1" t="s">
        <v>84</v>
      </c>
      <c r="Z41" s="108">
        <f>+Z40+1</f>
        <v>43</v>
      </c>
    </row>
    <row r="42" spans="2:26" s="106" customFormat="1" ht="4.5" customHeight="1">
      <c r="B42" s="105"/>
      <c r="C42" s="93"/>
      <c r="D42" s="94"/>
      <c r="E42" s="31"/>
      <c r="F42" s="31"/>
      <c r="G42" s="31"/>
      <c r="H42" s="31"/>
      <c r="I42" s="31"/>
      <c r="J42" s="31"/>
      <c r="K42" s="95"/>
      <c r="L42" s="95"/>
      <c r="M42" s="31"/>
      <c r="N42" s="96"/>
      <c r="O42" s="31"/>
      <c r="P42" s="31"/>
      <c r="Q42" s="31"/>
      <c r="R42" s="96"/>
      <c r="T42" s="107"/>
      <c r="U42" s="107"/>
      <c r="W42" s="133"/>
      <c r="Z42" s="133"/>
    </row>
    <row r="43" spans="2:26">
      <c r="B43" s="198" t="s">
        <v>237</v>
      </c>
      <c r="C43" s="199">
        <f>+D39</f>
        <v>61.5</v>
      </c>
      <c r="D43" s="199">
        <v>66</v>
      </c>
      <c r="E43" s="200">
        <f>+F39</f>
        <v>1993</v>
      </c>
      <c r="F43" s="200">
        <v>1420</v>
      </c>
      <c r="G43" s="199">
        <f>+D43-C43</f>
        <v>4.5</v>
      </c>
      <c r="H43" s="199">
        <f>+F43-E43</f>
        <v>-573</v>
      </c>
      <c r="I43" s="201">
        <f>+H43/(G43*1000)</f>
        <v>-0.12733333333333333</v>
      </c>
      <c r="J43" s="202">
        <f>+($D43-$C43)/K43/24</f>
        <v>3.2327586206896551E-3</v>
      </c>
      <c r="K43" s="203">
        <v>58</v>
      </c>
      <c r="L43" s="203"/>
      <c r="M43" s="202">
        <f>+M39+J43</f>
        <v>0.11503172551927705</v>
      </c>
      <c r="N43" s="204">
        <f>+J43/$M$91</f>
        <v>1.2182068572329771E-2</v>
      </c>
      <c r="O43" s="202">
        <f>+($D43-$C43)/P43/24</f>
        <v>3.5377358490566034E-3</v>
      </c>
      <c r="P43" s="205">
        <f>+K43-5</f>
        <v>53</v>
      </c>
      <c r="Q43" s="202">
        <f>+Q39+O43</f>
        <v>0.17779724071200978</v>
      </c>
      <c r="R43" s="206">
        <f>+O43/$Q$91</f>
        <v>9.5620157408195447E-3</v>
      </c>
      <c r="T43" s="5">
        <f>+I43*G43</f>
        <v>-0.57299999999999995</v>
      </c>
      <c r="U43" s="92">
        <f>+U39+G43</f>
        <v>66</v>
      </c>
      <c r="V43" s="1" t="s">
        <v>86</v>
      </c>
      <c r="W43" s="108">
        <f>+W41-1.25</f>
        <v>21.5</v>
      </c>
      <c r="Y43" s="1" t="s">
        <v>86</v>
      </c>
      <c r="Z43" s="108">
        <f>+Z41+1.25</f>
        <v>44.25</v>
      </c>
    </row>
    <row r="44" spans="2:26">
      <c r="B44" s="207" t="s">
        <v>238</v>
      </c>
      <c r="C44" s="208" t="s">
        <v>239</v>
      </c>
      <c r="D44" s="209"/>
      <c r="E44" s="208"/>
      <c r="F44" s="208"/>
      <c r="G44" s="208"/>
      <c r="H44" s="208"/>
      <c r="I44" s="208"/>
      <c r="J44" s="208"/>
      <c r="K44" s="210"/>
      <c r="L44" s="210"/>
      <c r="M44" s="208"/>
      <c r="N44" s="211"/>
      <c r="O44" s="208"/>
      <c r="P44" s="208"/>
      <c r="Q44" s="208"/>
      <c r="R44" s="212"/>
      <c r="T44" s="5"/>
      <c r="V44" s="1" t="s">
        <v>87</v>
      </c>
      <c r="W44" s="108">
        <f>+W43-1.25</f>
        <v>20.25</v>
      </c>
      <c r="Y44" s="1" t="s">
        <v>87</v>
      </c>
      <c r="Z44" s="108">
        <f>+Z43+1.25</f>
        <v>45.5</v>
      </c>
    </row>
    <row r="45" spans="2:26">
      <c r="B45" s="67"/>
      <c r="C45" s="68" t="s">
        <v>240</v>
      </c>
      <c r="D45" s="213"/>
      <c r="E45" s="68"/>
      <c r="F45" s="68"/>
      <c r="G45" s="68"/>
      <c r="H45" s="68"/>
      <c r="I45" s="68"/>
      <c r="J45" s="68"/>
      <c r="K45" s="214"/>
      <c r="L45" s="214"/>
      <c r="M45" s="68"/>
      <c r="N45" s="215"/>
      <c r="O45" s="68"/>
      <c r="P45" s="68"/>
      <c r="Q45" s="68"/>
      <c r="R45" s="216"/>
      <c r="T45" s="5"/>
      <c r="V45" s="1" t="s">
        <v>89</v>
      </c>
      <c r="W45" s="108">
        <f>+W44-1.25</f>
        <v>19</v>
      </c>
      <c r="Y45" s="1" t="s">
        <v>89</v>
      </c>
      <c r="Z45" s="108">
        <f>+Z44+1.25</f>
        <v>46.75</v>
      </c>
    </row>
    <row r="46" spans="2:26" s="106" customFormat="1" ht="4.5" customHeight="1">
      <c r="B46" s="105"/>
      <c r="C46" s="93"/>
      <c r="D46" s="94"/>
      <c r="E46" s="31"/>
      <c r="F46" s="31"/>
      <c r="G46" s="31"/>
      <c r="H46" s="31"/>
      <c r="I46" s="31"/>
      <c r="J46" s="31"/>
      <c r="K46" s="95"/>
      <c r="L46" s="95"/>
      <c r="M46" s="31"/>
      <c r="N46" s="96"/>
      <c r="O46" s="31"/>
      <c r="P46" s="31"/>
      <c r="Q46" s="31"/>
      <c r="R46" s="96"/>
      <c r="T46" s="107"/>
      <c r="U46" s="107"/>
      <c r="W46" s="133"/>
      <c r="Z46" s="133"/>
    </row>
    <row r="47" spans="2:26">
      <c r="B47" s="177" t="s">
        <v>241</v>
      </c>
      <c r="C47" s="178">
        <f>+D43</f>
        <v>66</v>
      </c>
      <c r="D47" s="178">
        <v>81</v>
      </c>
      <c r="E47" s="179">
        <f>+F43</f>
        <v>1420</v>
      </c>
      <c r="F47" s="179">
        <v>475</v>
      </c>
      <c r="G47" s="178">
        <f>+D47-C47</f>
        <v>15</v>
      </c>
      <c r="H47" s="178">
        <f>+F47-E47</f>
        <v>-945</v>
      </c>
      <c r="I47" s="180">
        <f>+H47/(G47*1000)</f>
        <v>-6.3E-2</v>
      </c>
      <c r="J47" s="181">
        <f>+($D47-$C47)/K47/24</f>
        <v>1.3297872340425532E-2</v>
      </c>
      <c r="K47" s="182">
        <v>47</v>
      </c>
      <c r="L47" s="182"/>
      <c r="M47" s="181">
        <f>+M43+J47</f>
        <v>0.12832959785970258</v>
      </c>
      <c r="N47" s="183">
        <f>+J47/$M$91</f>
        <v>5.0110636680505444E-2</v>
      </c>
      <c r="O47" s="181">
        <f>+($D47-$C47)/P47/24</f>
        <v>1.4880952380952382E-2</v>
      </c>
      <c r="P47" s="184">
        <f>+K47-5</f>
        <v>42</v>
      </c>
      <c r="Q47" s="181">
        <f>+Q43+O47</f>
        <v>0.19267819309296216</v>
      </c>
      <c r="R47" s="185">
        <f>+O47/$Q$91</f>
        <v>4.0221177322494917E-2</v>
      </c>
      <c r="T47" s="5">
        <f>+I47*G47</f>
        <v>-0.94500000000000006</v>
      </c>
      <c r="U47" s="92">
        <f>+U43+G47</f>
        <v>81</v>
      </c>
      <c r="V47" s="1" t="s">
        <v>91</v>
      </c>
      <c r="W47" s="108">
        <f>+W45-1.25</f>
        <v>17.75</v>
      </c>
      <c r="Y47" s="1" t="s">
        <v>91</v>
      </c>
      <c r="Z47" s="108">
        <f>+Z45+1.25</f>
        <v>48</v>
      </c>
    </row>
    <row r="48" spans="2:26">
      <c r="B48" s="54" t="s">
        <v>242</v>
      </c>
      <c r="C48" s="297" t="s">
        <v>243</v>
      </c>
      <c r="D48" s="188"/>
      <c r="E48" s="55"/>
      <c r="F48" s="55"/>
      <c r="G48" s="55"/>
      <c r="H48" s="55"/>
      <c r="I48" s="55"/>
      <c r="J48" s="55"/>
      <c r="K48" s="189"/>
      <c r="L48" s="189"/>
      <c r="M48" s="55"/>
      <c r="N48" s="190"/>
      <c r="O48" s="55"/>
      <c r="P48" s="55"/>
      <c r="Q48" s="55"/>
      <c r="R48" s="191"/>
      <c r="T48" s="5"/>
      <c r="V48" s="1" t="s">
        <v>94</v>
      </c>
      <c r="W48" s="108">
        <f>+W47-1.25</f>
        <v>16.5</v>
      </c>
      <c r="Y48" s="1" t="s">
        <v>94</v>
      </c>
      <c r="Z48" s="108">
        <f>+Z47+1.25</f>
        <v>49.25</v>
      </c>
    </row>
    <row r="49" spans="2:26">
      <c r="B49" s="192"/>
      <c r="C49" s="298" t="s">
        <v>244</v>
      </c>
      <c r="D49" s="194"/>
      <c r="E49" s="193"/>
      <c r="F49" s="193"/>
      <c r="G49" s="193"/>
      <c r="H49" s="193"/>
      <c r="I49" s="193"/>
      <c r="J49" s="193"/>
      <c r="K49" s="195"/>
      <c r="L49" s="195"/>
      <c r="M49" s="193"/>
      <c r="N49" s="196"/>
      <c r="O49" s="193"/>
      <c r="P49" s="193"/>
      <c r="Q49" s="193"/>
      <c r="R49" s="197"/>
      <c r="T49" s="5"/>
      <c r="V49" s="1" t="s">
        <v>96</v>
      </c>
      <c r="W49" s="108">
        <f>+W48-1.25</f>
        <v>15.25</v>
      </c>
      <c r="Y49" s="1" t="s">
        <v>96</v>
      </c>
      <c r="Z49" s="108">
        <f>+Z48+1.25</f>
        <v>50.5</v>
      </c>
    </row>
    <row r="50" spans="2:26" s="106" customFormat="1" ht="4.5" customHeight="1">
      <c r="B50" s="105"/>
      <c r="C50" s="93"/>
      <c r="D50" s="94"/>
      <c r="E50" s="31"/>
      <c r="F50" s="31"/>
      <c r="G50" s="31"/>
      <c r="H50" s="31"/>
      <c r="I50" s="31"/>
      <c r="J50" s="31"/>
      <c r="K50" s="95"/>
      <c r="L50" s="95"/>
      <c r="M50" s="31"/>
      <c r="N50" s="96"/>
      <c r="O50" s="31"/>
      <c r="P50" s="31"/>
      <c r="Q50" s="31"/>
      <c r="R50" s="96"/>
      <c r="T50" s="107"/>
      <c r="U50" s="107"/>
      <c r="W50" s="133"/>
      <c r="Z50" s="133"/>
    </row>
    <row r="51" spans="2:26">
      <c r="B51" s="84" t="s">
        <v>245</v>
      </c>
      <c r="C51" s="85">
        <f>+D47</f>
        <v>81</v>
      </c>
      <c r="D51" s="85">
        <v>88.5</v>
      </c>
      <c r="E51" s="86">
        <f>+F47</f>
        <v>475</v>
      </c>
      <c r="F51" s="86">
        <v>563</v>
      </c>
      <c r="G51" s="85">
        <f>+D51-C51</f>
        <v>7.5</v>
      </c>
      <c r="H51" s="85">
        <f>+F51-E51</f>
        <v>88</v>
      </c>
      <c r="I51" s="87">
        <f>+H51/(G51*1000)</f>
        <v>1.1733333333333333E-2</v>
      </c>
      <c r="J51" s="88">
        <f>+($D51-$C51)/K51/24</f>
        <v>9.765625E-3</v>
      </c>
      <c r="K51" s="89">
        <v>32</v>
      </c>
      <c r="L51" s="89"/>
      <c r="M51" s="88">
        <f>+M47+J51</f>
        <v>0.13809522285970258</v>
      </c>
      <c r="N51" s="90">
        <f>+J51/$M$91</f>
        <v>3.679999881224618E-2</v>
      </c>
      <c r="O51" s="88">
        <f>+($D51-$C51)/P51/24</f>
        <v>1.1574074074074075E-2</v>
      </c>
      <c r="P51" s="89">
        <f>+K51-5</f>
        <v>27</v>
      </c>
      <c r="Q51" s="88">
        <f>+Q47+O51</f>
        <v>0.20425226716703623</v>
      </c>
      <c r="R51" s="91">
        <f>+O51/$Q$91</f>
        <v>3.1283137917496047E-2</v>
      </c>
      <c r="T51" s="5">
        <f>+I51*G51</f>
        <v>8.7999999999999995E-2</v>
      </c>
      <c r="U51" s="92">
        <f>+U47+G51</f>
        <v>88.5</v>
      </c>
      <c r="V51" s="1" t="s">
        <v>98</v>
      </c>
      <c r="W51" s="108">
        <f>+W49-1.25</f>
        <v>14</v>
      </c>
      <c r="Y51" s="1" t="s">
        <v>98</v>
      </c>
      <c r="Z51" s="108">
        <f>+Z49+1.25</f>
        <v>51.75</v>
      </c>
    </row>
    <row r="52" spans="2:26">
      <c r="B52" s="30" t="s">
        <v>225</v>
      </c>
      <c r="C52" s="93" t="s">
        <v>246</v>
      </c>
      <c r="D52" s="295"/>
      <c r="E52" s="31"/>
      <c r="F52" s="31"/>
      <c r="G52" s="31"/>
      <c r="H52" s="31"/>
      <c r="I52" s="31"/>
      <c r="J52" s="31"/>
      <c r="K52" s="95"/>
      <c r="L52" s="95"/>
      <c r="M52" s="31"/>
      <c r="N52" s="96"/>
      <c r="O52" s="31"/>
      <c r="P52" s="31"/>
      <c r="Q52" s="31"/>
      <c r="R52" s="97"/>
      <c r="T52" s="5"/>
      <c r="V52" s="1" t="s">
        <v>99</v>
      </c>
      <c r="W52" s="108">
        <f>+W51-1.25</f>
        <v>12.75</v>
      </c>
      <c r="Y52" s="1" t="s">
        <v>99</v>
      </c>
      <c r="Z52" s="108">
        <f>+Z51+1.25</f>
        <v>53</v>
      </c>
    </row>
    <row r="53" spans="2:26">
      <c r="B53" s="135"/>
      <c r="C53" s="99" t="s">
        <v>247</v>
      </c>
      <c r="D53" s="100"/>
      <c r="E53" s="101"/>
      <c r="F53" s="101"/>
      <c r="G53" s="101"/>
      <c r="H53" s="101"/>
      <c r="I53" s="101"/>
      <c r="J53" s="101"/>
      <c r="K53" s="102"/>
      <c r="L53" s="102"/>
      <c r="M53" s="101"/>
      <c r="N53" s="103"/>
      <c r="O53" s="101"/>
      <c r="P53" s="101"/>
      <c r="Q53" s="101"/>
      <c r="R53" s="104"/>
      <c r="T53" s="5"/>
      <c r="V53" s="1" t="s">
        <v>100</v>
      </c>
      <c r="W53" s="108">
        <f>+W52-1.25</f>
        <v>11.5</v>
      </c>
      <c r="Y53" s="1" t="s">
        <v>100</v>
      </c>
      <c r="Z53" s="108">
        <f>+Z52+1.25</f>
        <v>54.25</v>
      </c>
    </row>
    <row r="54" spans="2:26" s="106" customFormat="1" ht="4.5" customHeight="1">
      <c r="B54" s="105"/>
      <c r="C54" s="93"/>
      <c r="D54" s="94"/>
      <c r="E54" s="31"/>
      <c r="F54" s="31"/>
      <c r="G54" s="31"/>
      <c r="H54" s="31"/>
      <c r="I54" s="31"/>
      <c r="J54" s="31"/>
      <c r="K54" s="95"/>
      <c r="L54" s="95"/>
      <c r="M54" s="31"/>
      <c r="N54" s="96"/>
      <c r="O54" s="31"/>
      <c r="P54" s="31"/>
      <c r="Q54" s="31"/>
      <c r="R54" s="96"/>
      <c r="T54" s="107"/>
      <c r="U54" s="107"/>
      <c r="W54" s="133"/>
      <c r="Z54" s="133"/>
    </row>
    <row r="55" spans="2:26">
      <c r="B55" s="84" t="s">
        <v>248</v>
      </c>
      <c r="C55" s="85">
        <f>+D51</f>
        <v>88.5</v>
      </c>
      <c r="D55" s="85">
        <v>104</v>
      </c>
      <c r="E55" s="86">
        <f>+F51</f>
        <v>563</v>
      </c>
      <c r="F55" s="86">
        <v>713</v>
      </c>
      <c r="G55" s="85">
        <f>+D55-C55</f>
        <v>15.5</v>
      </c>
      <c r="H55" s="85">
        <f>+F55-E55</f>
        <v>150</v>
      </c>
      <c r="I55" s="87">
        <f>+H55/(G55*1000)</f>
        <v>9.6774193548387101E-3</v>
      </c>
      <c r="J55" s="88">
        <f>+($D55-$C55)/K55/24</f>
        <v>1.9570707070707072E-2</v>
      </c>
      <c r="K55" s="89">
        <v>33</v>
      </c>
      <c r="L55" s="89"/>
      <c r="M55" s="88">
        <f>+M51+J55</f>
        <v>0.15766592993040965</v>
      </c>
      <c r="N55" s="90">
        <f>+J55/$M$91</f>
        <v>7.3748684488380234E-2</v>
      </c>
      <c r="O55" s="88">
        <f>+($D55-$C55)/P55/24</f>
        <v>2.3065476190476192E-2</v>
      </c>
      <c r="P55" s="89">
        <f>+K55-5</f>
        <v>28</v>
      </c>
      <c r="Q55" s="88">
        <f>+Q51+O55</f>
        <v>0.22731774335751243</v>
      </c>
      <c r="R55" s="91">
        <f>+O55/$Q$91</f>
        <v>6.2342824849867119E-2</v>
      </c>
      <c r="T55" s="5">
        <f>+I55*G55</f>
        <v>0.15</v>
      </c>
      <c r="U55" s="92">
        <f>+U51+G55</f>
        <v>104</v>
      </c>
      <c r="V55" s="1" t="s">
        <v>102</v>
      </c>
      <c r="W55" s="108">
        <f>+W53-1.25</f>
        <v>10.25</v>
      </c>
      <c r="Y55" s="1" t="s">
        <v>102</v>
      </c>
      <c r="Z55" s="108">
        <f>+Z53+1.25</f>
        <v>55.5</v>
      </c>
    </row>
    <row r="56" spans="2:26">
      <c r="B56" s="30" t="s">
        <v>225</v>
      </c>
      <c r="C56" s="93" t="s">
        <v>246</v>
      </c>
      <c r="D56" s="295"/>
      <c r="E56" s="31"/>
      <c r="F56" s="31"/>
      <c r="G56" s="31"/>
      <c r="H56" s="31"/>
      <c r="I56" s="31"/>
      <c r="J56" s="31"/>
      <c r="K56" s="95"/>
      <c r="L56" s="95"/>
      <c r="M56" s="31"/>
      <c r="N56" s="96"/>
      <c r="O56" s="31"/>
      <c r="P56" s="31"/>
      <c r="Q56" s="31"/>
      <c r="R56" s="97"/>
      <c r="T56" s="5"/>
    </row>
    <row r="57" spans="2:26">
      <c r="B57" s="135"/>
      <c r="C57" s="99" t="s">
        <v>249</v>
      </c>
      <c r="D57" s="100"/>
      <c r="E57" s="101"/>
      <c r="F57" s="101"/>
      <c r="G57" s="101"/>
      <c r="H57" s="101"/>
      <c r="I57" s="101"/>
      <c r="J57" s="101"/>
      <c r="K57" s="102"/>
      <c r="L57" s="102"/>
      <c r="M57" s="101"/>
      <c r="N57" s="103"/>
      <c r="O57" s="101"/>
      <c r="P57" s="101"/>
      <c r="Q57" s="101"/>
      <c r="R57" s="104"/>
      <c r="T57" s="5"/>
    </row>
    <row r="58" spans="2:26" s="106" customFormat="1" ht="4.5" customHeight="1">
      <c r="B58" s="105"/>
      <c r="C58" s="93"/>
      <c r="D58" s="94"/>
      <c r="E58" s="31"/>
      <c r="F58" s="31"/>
      <c r="G58" s="31"/>
      <c r="H58" s="31"/>
      <c r="I58" s="31"/>
      <c r="J58" s="31"/>
      <c r="K58" s="95"/>
      <c r="L58" s="95"/>
      <c r="M58" s="31"/>
      <c r="N58" s="96"/>
      <c r="O58" s="31"/>
      <c r="P58" s="31"/>
      <c r="Q58" s="31"/>
      <c r="R58" s="96"/>
      <c r="T58" s="107"/>
      <c r="U58" s="107"/>
    </row>
    <row r="59" spans="2:26">
      <c r="B59" s="84" t="s">
        <v>250</v>
      </c>
      <c r="C59" s="85">
        <f>+D55</f>
        <v>104</v>
      </c>
      <c r="D59" s="85">
        <v>105</v>
      </c>
      <c r="E59" s="86">
        <f>+F55</f>
        <v>713</v>
      </c>
      <c r="F59" s="86">
        <v>740</v>
      </c>
      <c r="G59" s="85">
        <f>+D59-C59</f>
        <v>1</v>
      </c>
      <c r="H59" s="85">
        <f>+F59-E59</f>
        <v>27</v>
      </c>
      <c r="I59" s="87">
        <f>+H59/(G59*1000)</f>
        <v>2.7E-2</v>
      </c>
      <c r="J59" s="88">
        <f>+($D59-$C59)/K59/24</f>
        <v>1.488095238095238E-3</v>
      </c>
      <c r="K59" s="89">
        <v>28</v>
      </c>
      <c r="L59" s="89"/>
      <c r="M59" s="88">
        <f>+M55+J59</f>
        <v>0.15915402516850488</v>
      </c>
      <c r="N59" s="90">
        <f>+J59/$M$91</f>
        <v>5.6076188666279898E-3</v>
      </c>
      <c r="O59" s="88">
        <f>+($D59-$C59)/P59/24</f>
        <v>1.8115942028985507E-3</v>
      </c>
      <c r="P59" s="89">
        <f>+K59-5</f>
        <v>23</v>
      </c>
      <c r="Q59" s="88">
        <f>+Q55+O59</f>
        <v>0.22912933756041098</v>
      </c>
      <c r="R59" s="91">
        <f>+O59/$Q$91</f>
        <v>4.8964911523037289E-3</v>
      </c>
      <c r="T59" s="5">
        <f>+I59*G59</f>
        <v>2.7E-2</v>
      </c>
      <c r="U59" s="92">
        <f>+U55+G59</f>
        <v>105</v>
      </c>
      <c r="V59" s="186"/>
      <c r="W59" s="187"/>
    </row>
    <row r="60" spans="2:26">
      <c r="B60" s="30" t="s">
        <v>120</v>
      </c>
      <c r="C60" s="93" t="s">
        <v>246</v>
      </c>
      <c r="D60" s="295"/>
      <c r="E60" s="31"/>
      <c r="F60" s="31"/>
      <c r="G60" s="31"/>
      <c r="H60" s="31"/>
      <c r="I60" s="31"/>
      <c r="J60" s="31"/>
      <c r="K60" s="95"/>
      <c r="L60" s="95"/>
      <c r="M60" s="31"/>
      <c r="N60" s="96"/>
      <c r="O60" s="31"/>
      <c r="P60" s="31"/>
      <c r="Q60" s="31"/>
      <c r="R60" s="97"/>
      <c r="T60" s="5"/>
    </row>
    <row r="61" spans="2:26">
      <c r="B61" s="135"/>
      <c r="C61" s="99" t="s">
        <v>251</v>
      </c>
      <c r="D61" s="100"/>
      <c r="E61" s="101"/>
      <c r="F61" s="101"/>
      <c r="G61" s="101"/>
      <c r="H61" s="101"/>
      <c r="I61" s="101"/>
      <c r="J61" s="101"/>
      <c r="K61" s="102"/>
      <c r="L61" s="102"/>
      <c r="M61" s="101"/>
      <c r="N61" s="103"/>
      <c r="O61" s="101"/>
      <c r="P61" s="101"/>
      <c r="Q61" s="101"/>
      <c r="R61" s="104"/>
      <c r="T61" s="5"/>
    </row>
    <row r="62" spans="2:26" s="106" customFormat="1" ht="4.5" customHeight="1">
      <c r="B62" s="105"/>
      <c r="C62" s="93"/>
      <c r="D62" s="94"/>
      <c r="E62" s="31"/>
      <c r="F62" s="31"/>
      <c r="G62" s="31"/>
      <c r="H62" s="31"/>
      <c r="I62" s="31"/>
      <c r="J62" s="31"/>
      <c r="K62" s="95"/>
      <c r="L62" s="95"/>
      <c r="M62" s="31"/>
      <c r="N62" s="96"/>
      <c r="O62" s="31"/>
      <c r="P62" s="31"/>
      <c r="Q62" s="31"/>
      <c r="R62" s="96"/>
      <c r="T62" s="107"/>
      <c r="U62" s="107"/>
    </row>
    <row r="63" spans="2:26">
      <c r="B63" s="136" t="s">
        <v>252</v>
      </c>
      <c r="C63" s="137">
        <f>+D59</f>
        <v>105</v>
      </c>
      <c r="D63" s="137">
        <v>117.5</v>
      </c>
      <c r="E63" s="138">
        <f>+F59</f>
        <v>740</v>
      </c>
      <c r="F63" s="138">
        <v>1565</v>
      </c>
      <c r="G63" s="137">
        <f>+D63-C63</f>
        <v>12.5</v>
      </c>
      <c r="H63" s="137">
        <f>+F63-E63</f>
        <v>825</v>
      </c>
      <c r="I63" s="139">
        <f>+H63/(G63*1000)</f>
        <v>6.6000000000000003E-2</v>
      </c>
      <c r="J63" s="140">
        <f>+($D63-$C63)/K63/24</f>
        <v>2.9260299625468163E-2</v>
      </c>
      <c r="K63" s="141">
        <v>17.8</v>
      </c>
      <c r="L63" s="141"/>
      <c r="M63" s="140">
        <f>+M59+J63</f>
        <v>0.18841432479397305</v>
      </c>
      <c r="N63" s="142">
        <f>+J63/$M$91</f>
        <v>0.11026216872583125</v>
      </c>
      <c r="O63" s="140">
        <f>+($D63-$C63)/P63/24</f>
        <v>4.0690104166666664E-2</v>
      </c>
      <c r="P63" s="143">
        <f>+K63-5</f>
        <v>12.8</v>
      </c>
      <c r="Q63" s="140">
        <f>+Q59+O63</f>
        <v>0.26981944172707767</v>
      </c>
      <c r="R63" s="144">
        <f>+O63/$Q$91</f>
        <v>0.10997978174119702</v>
      </c>
      <c r="T63" s="5">
        <f>+I63*G63</f>
        <v>0.82500000000000007</v>
      </c>
      <c r="U63" s="92">
        <f>+U59+G63</f>
        <v>117.5</v>
      </c>
      <c r="V63" s="186"/>
      <c r="W63" s="187"/>
    </row>
    <row r="64" spans="2:26">
      <c r="B64" s="48" t="s">
        <v>253</v>
      </c>
      <c r="C64" s="49" t="s">
        <v>254</v>
      </c>
      <c r="D64" s="146"/>
      <c r="E64" s="49"/>
      <c r="F64" s="49"/>
      <c r="G64" s="49"/>
      <c r="H64" s="49"/>
      <c r="I64" s="49"/>
      <c r="J64" s="49"/>
      <c r="K64" s="147"/>
      <c r="L64" s="147"/>
      <c r="M64" s="49"/>
      <c r="N64" s="148"/>
      <c r="O64" s="49"/>
      <c r="P64" s="49"/>
      <c r="Q64" s="49"/>
      <c r="R64" s="149"/>
      <c r="T64" s="5"/>
    </row>
    <row r="65" spans="2:23">
      <c r="B65" s="150"/>
      <c r="C65" s="153" t="s">
        <v>255</v>
      </c>
      <c r="D65" s="152"/>
      <c r="E65" s="153"/>
      <c r="F65" s="153"/>
      <c r="G65" s="153"/>
      <c r="H65" s="153"/>
      <c r="I65" s="153"/>
      <c r="J65" s="153"/>
      <c r="K65" s="154"/>
      <c r="L65" s="154"/>
      <c r="M65" s="153"/>
      <c r="N65" s="155"/>
      <c r="O65" s="153"/>
      <c r="P65" s="153"/>
      <c r="Q65" s="153"/>
      <c r="R65" s="156"/>
      <c r="T65" s="5"/>
    </row>
    <row r="66" spans="2:23" s="106" customFormat="1" ht="4.5" customHeight="1">
      <c r="B66" s="105"/>
      <c r="C66" s="93"/>
      <c r="D66" s="94"/>
      <c r="E66" s="31"/>
      <c r="F66" s="31"/>
      <c r="G66" s="31"/>
      <c r="H66" s="31"/>
      <c r="I66" s="31"/>
      <c r="J66" s="31"/>
      <c r="K66" s="95"/>
      <c r="L66" s="95"/>
      <c r="M66" s="31"/>
      <c r="N66" s="96"/>
      <c r="O66" s="31"/>
      <c r="P66" s="31"/>
      <c r="Q66" s="31"/>
      <c r="R66" s="96"/>
      <c r="T66" s="107"/>
      <c r="U66" s="107"/>
    </row>
    <row r="67" spans="2:23">
      <c r="B67" s="272" t="s">
        <v>256</v>
      </c>
      <c r="C67" s="273">
        <f>+D63</f>
        <v>117.5</v>
      </c>
      <c r="D67" s="273">
        <v>122</v>
      </c>
      <c r="E67" s="274">
        <f>+F63</f>
        <v>1565</v>
      </c>
      <c r="F67" s="274">
        <v>1404</v>
      </c>
      <c r="G67" s="273">
        <f>+D67-C67</f>
        <v>4.5</v>
      </c>
      <c r="H67" s="273">
        <f>+F67-E67</f>
        <v>-161</v>
      </c>
      <c r="I67" s="275">
        <f>+H67/(G67*1000)</f>
        <v>-3.5777777777777776E-2</v>
      </c>
      <c r="J67" s="276">
        <f>+($D67-$C67)/K67/24</f>
        <v>4.5731707317073168E-3</v>
      </c>
      <c r="K67" s="277">
        <v>41</v>
      </c>
      <c r="L67" s="277"/>
      <c r="M67" s="276">
        <f>+M63+J67</f>
        <v>0.19298749552568037</v>
      </c>
      <c r="N67" s="278">
        <f>+J67/$M$91</f>
        <v>1.7233170175490895E-2</v>
      </c>
      <c r="O67" s="276">
        <f>+($D67-$C67)/P67/24</f>
        <v>5.208333333333333E-3</v>
      </c>
      <c r="P67" s="279">
        <f>+K67-5</f>
        <v>36</v>
      </c>
      <c r="Q67" s="276">
        <f>+Q63+O67</f>
        <v>0.27502777506041098</v>
      </c>
      <c r="R67" s="280">
        <f>+O67/$Q$91</f>
        <v>1.4077412062873218E-2</v>
      </c>
      <c r="T67" s="5">
        <f>+I67*G67</f>
        <v>-0.161</v>
      </c>
      <c r="U67" s="92">
        <f>+U63+G67</f>
        <v>122</v>
      </c>
      <c r="V67" s="186"/>
      <c r="W67" s="187"/>
    </row>
    <row r="68" spans="2:23">
      <c r="B68" s="281" t="s">
        <v>196</v>
      </c>
      <c r="C68" s="282" t="s">
        <v>257</v>
      </c>
      <c r="D68" s="283"/>
      <c r="E68" s="284"/>
      <c r="F68" s="284"/>
      <c r="G68" s="284"/>
      <c r="H68" s="284"/>
      <c r="I68" s="284"/>
      <c r="J68" s="284"/>
      <c r="K68" s="285"/>
      <c r="L68" s="285"/>
      <c r="M68" s="284"/>
      <c r="N68" s="286"/>
      <c r="O68" s="284"/>
      <c r="P68" s="284"/>
      <c r="Q68" s="284"/>
      <c r="R68" s="287"/>
      <c r="T68" s="5"/>
    </row>
    <row r="69" spans="2:23">
      <c r="B69" s="288"/>
      <c r="C69" s="289" t="s">
        <v>258</v>
      </c>
      <c r="D69" s="290"/>
      <c r="E69" s="291"/>
      <c r="F69" s="291"/>
      <c r="G69" s="291"/>
      <c r="H69" s="291"/>
      <c r="I69" s="291"/>
      <c r="J69" s="291"/>
      <c r="K69" s="292"/>
      <c r="L69" s="292"/>
      <c r="M69" s="291"/>
      <c r="N69" s="293"/>
      <c r="O69" s="291"/>
      <c r="P69" s="291"/>
      <c r="Q69" s="291"/>
      <c r="R69" s="294"/>
      <c r="T69" s="5"/>
    </row>
    <row r="70" spans="2:23" s="106" customFormat="1" ht="4.5" customHeight="1">
      <c r="B70" s="105"/>
      <c r="C70" s="93"/>
      <c r="D70" s="94"/>
      <c r="E70" s="31"/>
      <c r="F70" s="31"/>
      <c r="G70" s="31"/>
      <c r="H70" s="31"/>
      <c r="I70" s="31"/>
      <c r="J70" s="31"/>
      <c r="K70" s="95"/>
      <c r="L70" s="95"/>
      <c r="M70" s="31"/>
      <c r="N70" s="96"/>
      <c r="O70" s="31"/>
      <c r="P70" s="31"/>
      <c r="Q70" s="31"/>
      <c r="R70" s="96"/>
      <c r="T70" s="107"/>
      <c r="U70" s="107"/>
    </row>
    <row r="71" spans="2:23">
      <c r="B71" s="136" t="s">
        <v>259</v>
      </c>
      <c r="C71" s="137">
        <f>+D67</f>
        <v>122</v>
      </c>
      <c r="D71" s="137">
        <v>124.5</v>
      </c>
      <c r="E71" s="138">
        <f>+F67</f>
        <v>1404</v>
      </c>
      <c r="F71" s="138">
        <v>1558</v>
      </c>
      <c r="G71" s="137">
        <f>+D71-C71</f>
        <v>2.5</v>
      </c>
      <c r="H71" s="137">
        <f>+F71-E71</f>
        <v>154</v>
      </c>
      <c r="I71" s="139">
        <f>+H71/(G71*1000)</f>
        <v>6.1600000000000002E-2</v>
      </c>
      <c r="J71" s="140">
        <f>+($D71-$C71)/K71/24</f>
        <v>5.4824561403508769E-3</v>
      </c>
      <c r="K71" s="141">
        <v>19</v>
      </c>
      <c r="L71" s="141"/>
      <c r="M71" s="140">
        <f>+M67+J71</f>
        <v>0.19846995166603124</v>
      </c>
      <c r="N71" s="142">
        <f>+J71/$M$91</f>
        <v>2.0659648455997857E-2</v>
      </c>
      <c r="O71" s="140">
        <f>+($D71-$C71)/P71/24</f>
        <v>7.4404761904761909E-3</v>
      </c>
      <c r="P71" s="143">
        <f>+K71-5</f>
        <v>14</v>
      </c>
      <c r="Q71" s="140">
        <f>+Q67+O71</f>
        <v>0.28246825125088715</v>
      </c>
      <c r="R71" s="144">
        <f>+O71/$Q$91</f>
        <v>2.0110588661247458E-2</v>
      </c>
      <c r="T71" s="5">
        <f>+I71*G71</f>
        <v>0.154</v>
      </c>
      <c r="U71" s="92">
        <f>+U67+G71</f>
        <v>124.5</v>
      </c>
      <c r="V71" s="186"/>
      <c r="W71" s="187"/>
    </row>
    <row r="72" spans="2:23">
      <c r="B72" s="48" t="s">
        <v>196</v>
      </c>
      <c r="C72" s="49" t="s">
        <v>260</v>
      </c>
      <c r="D72" s="146"/>
      <c r="E72" s="49"/>
      <c r="F72" s="49"/>
      <c r="G72" s="49"/>
      <c r="H72" s="49"/>
      <c r="I72" s="49"/>
      <c r="J72" s="49"/>
      <c r="K72" s="147"/>
      <c r="L72" s="147"/>
      <c r="M72" s="49"/>
      <c r="N72" s="148"/>
      <c r="O72" s="49"/>
      <c r="P72" s="49"/>
      <c r="Q72" s="49"/>
      <c r="R72" s="149"/>
      <c r="T72" s="5"/>
    </row>
    <row r="73" spans="2:23">
      <c r="B73" s="150"/>
      <c r="C73" s="153" t="s">
        <v>261</v>
      </c>
      <c r="D73" s="152"/>
      <c r="E73" s="153"/>
      <c r="F73" s="153"/>
      <c r="G73" s="153"/>
      <c r="H73" s="153"/>
      <c r="I73" s="153"/>
      <c r="J73" s="153"/>
      <c r="K73" s="154"/>
      <c r="L73" s="154"/>
      <c r="M73" s="153"/>
      <c r="N73" s="155"/>
      <c r="O73" s="153"/>
      <c r="P73" s="153"/>
      <c r="Q73" s="153"/>
      <c r="R73" s="156"/>
      <c r="T73" s="5"/>
    </row>
    <row r="74" spans="2:23" s="106" customFormat="1" ht="4.5" customHeight="1">
      <c r="B74" s="105"/>
      <c r="C74" s="93"/>
      <c r="D74" s="94"/>
      <c r="E74" s="31"/>
      <c r="F74" s="31"/>
      <c r="G74" s="31"/>
      <c r="H74" s="31"/>
      <c r="I74" s="31"/>
      <c r="J74" s="31"/>
      <c r="K74" s="95"/>
      <c r="L74" s="95"/>
      <c r="M74" s="31"/>
      <c r="N74" s="96"/>
      <c r="O74" s="31"/>
      <c r="P74" s="31"/>
      <c r="Q74" s="31"/>
      <c r="R74" s="96"/>
      <c r="T74" s="107"/>
      <c r="U74" s="107"/>
    </row>
    <row r="75" spans="2:23">
      <c r="B75" s="136" t="s">
        <v>262</v>
      </c>
      <c r="C75" s="137">
        <f>+D71</f>
        <v>124.5</v>
      </c>
      <c r="D75" s="137">
        <v>132</v>
      </c>
      <c r="E75" s="138">
        <f>+F71</f>
        <v>1558</v>
      </c>
      <c r="F75" s="138">
        <v>1962</v>
      </c>
      <c r="G75" s="137">
        <f>+D75-C75</f>
        <v>7.5</v>
      </c>
      <c r="H75" s="137">
        <f>+F75-E75</f>
        <v>404</v>
      </c>
      <c r="I75" s="139">
        <f>+H75/(G75*1000)</f>
        <v>5.3866666666666667E-2</v>
      </c>
      <c r="J75" s="140">
        <f>+($D75-$C75)/K75/24</f>
        <v>1.4534883720930232E-2</v>
      </c>
      <c r="K75" s="141">
        <v>21.5</v>
      </c>
      <c r="L75" s="141"/>
      <c r="M75" s="140">
        <f>+M71+J75</f>
        <v>0.21300483538696147</v>
      </c>
      <c r="N75" s="142">
        <f>+J75/$M$91</f>
        <v>5.4772091255436181E-2</v>
      </c>
      <c r="O75" s="140">
        <f>+($D75-$C75)/P75/24</f>
        <v>1.893939393939394E-2</v>
      </c>
      <c r="P75" s="143">
        <f>+K75-5</f>
        <v>16.5</v>
      </c>
      <c r="Q75" s="140">
        <f>+Q71+O75</f>
        <v>0.30140764519028107</v>
      </c>
      <c r="R75" s="144">
        <f>+O75/$Q$91</f>
        <v>5.119058931953898E-2</v>
      </c>
      <c r="T75" s="5">
        <f>+I75*G75</f>
        <v>0.40400000000000003</v>
      </c>
      <c r="U75" s="92">
        <f>+U71+G75</f>
        <v>132</v>
      </c>
      <c r="V75" s="186"/>
      <c r="W75" s="187"/>
    </row>
    <row r="76" spans="2:23">
      <c r="B76" s="48" t="s">
        <v>263</v>
      </c>
      <c r="C76" s="49" t="s">
        <v>264</v>
      </c>
      <c r="D76" s="146"/>
      <c r="E76" s="49"/>
      <c r="F76" s="49"/>
      <c r="G76" s="49"/>
      <c r="H76" s="49"/>
      <c r="I76" s="49"/>
      <c r="J76" s="49"/>
      <c r="K76" s="147"/>
      <c r="L76" s="147"/>
      <c r="M76" s="49"/>
      <c r="N76" s="148"/>
      <c r="O76" s="49"/>
      <c r="P76" s="49"/>
      <c r="Q76" s="49"/>
      <c r="R76" s="149"/>
      <c r="T76" s="5"/>
    </row>
    <row r="77" spans="2:23">
      <c r="B77" s="150"/>
      <c r="C77" s="153" t="s">
        <v>261</v>
      </c>
      <c r="D77" s="152"/>
      <c r="E77" s="153"/>
      <c r="F77" s="153"/>
      <c r="G77" s="153"/>
      <c r="H77" s="153"/>
      <c r="I77" s="153"/>
      <c r="J77" s="153"/>
      <c r="K77" s="154"/>
      <c r="L77" s="154"/>
      <c r="M77" s="153"/>
      <c r="N77" s="155"/>
      <c r="O77" s="153"/>
      <c r="P77" s="153"/>
      <c r="Q77" s="153"/>
      <c r="R77" s="156"/>
      <c r="T77" s="5"/>
    </row>
    <row r="78" spans="2:23" s="106" customFormat="1" ht="4.5" customHeight="1">
      <c r="B78" s="105"/>
      <c r="C78" s="93"/>
      <c r="D78" s="94"/>
      <c r="E78" s="31"/>
      <c r="F78" s="31"/>
      <c r="G78" s="31"/>
      <c r="H78" s="31"/>
      <c r="I78" s="31"/>
      <c r="J78" s="31"/>
      <c r="K78" s="95"/>
      <c r="L78" s="95"/>
      <c r="M78" s="31"/>
      <c r="N78" s="96"/>
      <c r="O78" s="31"/>
      <c r="P78" s="31"/>
      <c r="Q78" s="31"/>
      <c r="R78" s="96"/>
      <c r="T78" s="107"/>
      <c r="U78" s="107"/>
    </row>
    <row r="79" spans="2:23">
      <c r="B79" s="157" t="s">
        <v>265</v>
      </c>
      <c r="C79" s="158">
        <f>+D75</f>
        <v>132</v>
      </c>
      <c r="D79" s="158">
        <v>141</v>
      </c>
      <c r="E79" s="159">
        <f>+F75</f>
        <v>1962</v>
      </c>
      <c r="F79" s="159">
        <v>2645</v>
      </c>
      <c r="G79" s="158">
        <f>+D79-C79</f>
        <v>9</v>
      </c>
      <c r="H79" s="158">
        <f>+F79-E79</f>
        <v>683</v>
      </c>
      <c r="I79" s="160">
        <f>+H79/(G79*1000)</f>
        <v>7.5888888888888895E-2</v>
      </c>
      <c r="J79" s="161">
        <f>+($D79-$C79)/K79/24</f>
        <v>2.4999999999999998E-2</v>
      </c>
      <c r="K79" s="162">
        <v>15</v>
      </c>
      <c r="L79" s="162"/>
      <c r="M79" s="161">
        <f>+M75+J79</f>
        <v>0.23800483538696146</v>
      </c>
      <c r="N79" s="163">
        <f>+J79/$M$91</f>
        <v>9.4207996959350226E-2</v>
      </c>
      <c r="O79" s="161">
        <f>+($D79-$C79)/P79/24</f>
        <v>3.7499999999999999E-2</v>
      </c>
      <c r="P79" s="164">
        <f>+K79-5</f>
        <v>10</v>
      </c>
      <c r="Q79" s="161">
        <f>+Q75+O79</f>
        <v>0.33890764519028105</v>
      </c>
      <c r="R79" s="165">
        <f>+O79/$Q$91</f>
        <v>0.10135736685268718</v>
      </c>
      <c r="T79" s="5">
        <f>+I79*G79</f>
        <v>0.68300000000000005</v>
      </c>
      <c r="U79" s="92">
        <f>+U75+G79</f>
        <v>141</v>
      </c>
      <c r="V79" s="186"/>
      <c r="W79" s="187"/>
    </row>
    <row r="80" spans="2:23">
      <c r="B80" s="166" t="s">
        <v>168</v>
      </c>
      <c r="C80" s="251" t="s">
        <v>266</v>
      </c>
      <c r="D80" s="168"/>
      <c r="E80" s="167"/>
      <c r="F80" s="167"/>
      <c r="G80" s="167"/>
      <c r="H80" s="167"/>
      <c r="I80" s="167"/>
      <c r="J80" s="167"/>
      <c r="K80" s="169"/>
      <c r="L80" s="169"/>
      <c r="M80" s="167"/>
      <c r="N80" s="170"/>
      <c r="O80" s="167"/>
      <c r="P80" s="167"/>
      <c r="Q80" s="167"/>
      <c r="R80" s="171"/>
      <c r="T80" s="5"/>
    </row>
    <row r="81" spans="2:23">
      <c r="B81" s="60" t="s">
        <v>135</v>
      </c>
      <c r="C81" s="252" t="s">
        <v>267</v>
      </c>
      <c r="D81" s="173"/>
      <c r="E81" s="61"/>
      <c r="F81" s="61"/>
      <c r="G81" s="61"/>
      <c r="H81" s="61"/>
      <c r="I81" s="61"/>
      <c r="J81" s="61"/>
      <c r="K81" s="174"/>
      <c r="L81" s="174"/>
      <c r="M81" s="61"/>
      <c r="N81" s="175"/>
      <c r="O81" s="61"/>
      <c r="P81" s="61"/>
      <c r="Q81" s="61"/>
      <c r="R81" s="176"/>
      <c r="T81" s="5"/>
    </row>
    <row r="82" spans="2:23" s="106" customFormat="1" ht="4.5" customHeight="1">
      <c r="B82" s="105"/>
      <c r="C82" s="93"/>
      <c r="D82" s="94"/>
      <c r="E82" s="31"/>
      <c r="F82" s="31"/>
      <c r="G82" s="31"/>
      <c r="H82" s="31"/>
      <c r="I82" s="31"/>
      <c r="J82" s="31"/>
      <c r="K82" s="95"/>
      <c r="L82" s="95"/>
      <c r="M82" s="31"/>
      <c r="N82" s="96"/>
      <c r="O82" s="31"/>
      <c r="P82" s="31"/>
      <c r="Q82" s="31"/>
      <c r="R82" s="96"/>
      <c r="T82" s="107"/>
      <c r="U82" s="107"/>
    </row>
    <row r="83" spans="2:23">
      <c r="B83" s="198" t="s">
        <v>268</v>
      </c>
      <c r="C83" s="199">
        <f>+D79</f>
        <v>141</v>
      </c>
      <c r="D83" s="199">
        <v>149</v>
      </c>
      <c r="E83" s="200">
        <f>+F79</f>
        <v>2645</v>
      </c>
      <c r="F83" s="200">
        <v>2057</v>
      </c>
      <c r="G83" s="199">
        <f>+D83-C83</f>
        <v>8</v>
      </c>
      <c r="H83" s="199">
        <f>+F83-E83</f>
        <v>-588</v>
      </c>
      <c r="I83" s="201">
        <f>+H83/(G83*1000)</f>
        <v>-7.3499999999999996E-2</v>
      </c>
      <c r="J83" s="202">
        <f>+($D83-$C83)/K83/24</f>
        <v>6.6666666666666671E-3</v>
      </c>
      <c r="K83" s="203">
        <v>50</v>
      </c>
      <c r="L83" s="203"/>
      <c r="M83" s="202">
        <f>+M79+J83</f>
        <v>0.24467150205362811</v>
      </c>
      <c r="N83" s="204">
        <f>+J83/$M$91</f>
        <v>2.5122132522493394E-2</v>
      </c>
      <c r="O83" s="202">
        <f>+($D83-$C83)/P83/24</f>
        <v>7.4074074074074077E-3</v>
      </c>
      <c r="P83" s="205">
        <f>+K83-5</f>
        <v>45</v>
      </c>
      <c r="Q83" s="202">
        <f>+Q79+O83</f>
        <v>0.34631505259768847</v>
      </c>
      <c r="R83" s="206">
        <f>+O83/$Q$91</f>
        <v>2.0021208267197468E-2</v>
      </c>
      <c r="T83" s="5">
        <f>+I83*G83</f>
        <v>-0.58799999999999997</v>
      </c>
      <c r="U83" s="92">
        <f>+U79+G83</f>
        <v>149</v>
      </c>
      <c r="V83" s="186"/>
      <c r="W83" s="187"/>
    </row>
    <row r="84" spans="2:23">
      <c r="B84" s="207" t="s">
        <v>113</v>
      </c>
      <c r="C84" s="208" t="s">
        <v>269</v>
      </c>
      <c r="D84" s="209"/>
      <c r="E84" s="208"/>
      <c r="F84" s="208"/>
      <c r="G84" s="208"/>
      <c r="H84" s="208"/>
      <c r="I84" s="208"/>
      <c r="J84" s="208"/>
      <c r="K84" s="210"/>
      <c r="L84" s="210"/>
      <c r="M84" s="208"/>
      <c r="N84" s="211"/>
      <c r="O84" s="208"/>
      <c r="P84" s="208"/>
      <c r="Q84" s="208"/>
      <c r="R84" s="212"/>
      <c r="T84" s="5"/>
    </row>
    <row r="85" spans="2:23">
      <c r="B85" s="67"/>
      <c r="C85" s="68" t="s">
        <v>270</v>
      </c>
      <c r="D85" s="213"/>
      <c r="E85" s="68"/>
      <c r="F85" s="68"/>
      <c r="G85" s="68"/>
      <c r="H85" s="68"/>
      <c r="I85" s="68"/>
      <c r="J85" s="68"/>
      <c r="K85" s="214"/>
      <c r="L85" s="214"/>
      <c r="M85" s="68"/>
      <c r="N85" s="215"/>
      <c r="O85" s="68"/>
      <c r="P85" s="68"/>
      <c r="Q85" s="68"/>
      <c r="R85" s="216"/>
      <c r="T85" s="5"/>
    </row>
    <row r="86" spans="2:23" s="106" customFormat="1" ht="4.5" customHeight="1">
      <c r="B86" s="105"/>
      <c r="C86" s="93"/>
      <c r="D86" s="94"/>
      <c r="E86" s="31"/>
      <c r="F86" s="31"/>
      <c r="G86" s="31"/>
      <c r="H86" s="31"/>
      <c r="I86" s="31"/>
      <c r="J86" s="31"/>
      <c r="K86" s="95"/>
      <c r="L86" s="95"/>
      <c r="M86" s="31"/>
      <c r="N86" s="96"/>
      <c r="O86" s="31"/>
      <c r="P86" s="31"/>
      <c r="Q86" s="31"/>
      <c r="R86" s="96"/>
      <c r="T86" s="107"/>
      <c r="U86" s="107"/>
    </row>
    <row r="87" spans="2:23">
      <c r="B87" s="177" t="s">
        <v>271</v>
      </c>
      <c r="C87" s="178">
        <f>+D83</f>
        <v>149</v>
      </c>
      <c r="D87" s="178">
        <v>162</v>
      </c>
      <c r="E87" s="179">
        <f>+F83</f>
        <v>2057</v>
      </c>
      <c r="F87" s="179">
        <v>1474</v>
      </c>
      <c r="G87" s="178">
        <f>+D87-C87</f>
        <v>13</v>
      </c>
      <c r="H87" s="178">
        <f>+F87-E87</f>
        <v>-583</v>
      </c>
      <c r="I87" s="180">
        <f>+H87/(G87*1000)</f>
        <v>-4.4846153846153848E-2</v>
      </c>
      <c r="J87" s="181">
        <f>+($D87-$C87)/K87/24</f>
        <v>1.2596899224806201E-2</v>
      </c>
      <c r="K87" s="182">
        <v>43</v>
      </c>
      <c r="L87" s="182"/>
      <c r="M87" s="181">
        <f>+M83+J87</f>
        <v>0.25726840127843431</v>
      </c>
      <c r="N87" s="183">
        <f>+J87/$M$91</f>
        <v>4.7469145754711353E-2</v>
      </c>
      <c r="O87" s="181">
        <f>+($D87-$C87)/P87/24</f>
        <v>1.4254385964912282E-2</v>
      </c>
      <c r="P87" s="184">
        <f>+K87-5</f>
        <v>38</v>
      </c>
      <c r="Q87" s="181">
        <f>+Q83+O87</f>
        <v>0.36056943856260076</v>
      </c>
      <c r="R87" s="185">
        <f>+O87/$Q$91</f>
        <v>3.8527654066810919E-2</v>
      </c>
      <c r="T87" s="5">
        <f>+I87*G87</f>
        <v>-0.58300000000000007</v>
      </c>
      <c r="U87" s="92">
        <f>+U83+G87</f>
        <v>162</v>
      </c>
      <c r="V87" s="186"/>
      <c r="W87" s="187"/>
    </row>
    <row r="88" spans="2:23">
      <c r="B88" s="54" t="s">
        <v>113</v>
      </c>
      <c r="C88" s="297" t="s">
        <v>272</v>
      </c>
      <c r="D88" s="188"/>
      <c r="E88" s="55"/>
      <c r="F88" s="55"/>
      <c r="G88" s="55"/>
      <c r="H88" s="55"/>
      <c r="I88" s="55"/>
      <c r="J88" s="55"/>
      <c r="K88" s="189"/>
      <c r="L88" s="189"/>
      <c r="M88" s="55"/>
      <c r="N88" s="190"/>
      <c r="O88" s="55"/>
      <c r="P88" s="55"/>
      <c r="Q88" s="55"/>
      <c r="R88" s="191"/>
      <c r="T88" s="5"/>
    </row>
    <row r="89" spans="2:23">
      <c r="B89" s="192"/>
      <c r="C89" s="298" t="s">
        <v>273</v>
      </c>
      <c r="D89" s="194"/>
      <c r="E89" s="193"/>
      <c r="F89" s="193"/>
      <c r="G89" s="193"/>
      <c r="H89" s="193"/>
      <c r="I89" s="193"/>
      <c r="J89" s="193"/>
      <c r="K89" s="195"/>
      <c r="L89" s="195"/>
      <c r="M89" s="193"/>
      <c r="N89" s="196"/>
      <c r="O89" s="193"/>
      <c r="P89" s="193"/>
      <c r="Q89" s="193"/>
      <c r="R89" s="197"/>
      <c r="T89" s="5"/>
    </row>
    <row r="90" spans="2:23" s="106" customFormat="1" ht="4.5" customHeight="1">
      <c r="B90" s="105"/>
      <c r="C90" s="93"/>
      <c r="D90" s="94"/>
      <c r="E90" s="31"/>
      <c r="F90" s="31"/>
      <c r="G90" s="31"/>
      <c r="H90" s="31"/>
      <c r="I90" s="31"/>
      <c r="J90" s="31"/>
      <c r="K90" s="95"/>
      <c r="L90" s="95"/>
      <c r="M90" s="31"/>
      <c r="N90" s="96"/>
      <c r="O90" s="31"/>
      <c r="P90" s="31"/>
      <c r="Q90" s="31"/>
      <c r="R90" s="96"/>
      <c r="T90" s="107"/>
      <c r="U90" s="107"/>
    </row>
    <row r="91" spans="2:23">
      <c r="B91" s="84" t="s">
        <v>274</v>
      </c>
      <c r="C91" s="85">
        <f>+D87</f>
        <v>162</v>
      </c>
      <c r="D91" s="85">
        <v>169</v>
      </c>
      <c r="E91" s="86">
        <f>+F87</f>
        <v>1474</v>
      </c>
      <c r="F91" s="86">
        <v>1375</v>
      </c>
      <c r="G91" s="85">
        <f>+D91-C91</f>
        <v>7</v>
      </c>
      <c r="H91" s="85">
        <f>+F91-E91</f>
        <v>-99</v>
      </c>
      <c r="I91" s="87">
        <f>+H91/(G91*1000)</f>
        <v>-1.4142857142857143E-2</v>
      </c>
      <c r="J91" s="88">
        <f>+($D91-$C91)/K91/24</f>
        <v>8.1018518518518514E-3</v>
      </c>
      <c r="K91" s="89">
        <v>36</v>
      </c>
      <c r="L91" s="89"/>
      <c r="M91" s="88">
        <f>+M87+J91</f>
        <v>0.26537025313028617</v>
      </c>
      <c r="N91" s="90">
        <f>+J91/$M$91</f>
        <v>3.0530369384974609E-2</v>
      </c>
      <c r="O91" s="88">
        <f>+($D91-$C91)/P91/24</f>
        <v>9.4086021505376347E-3</v>
      </c>
      <c r="P91" s="89">
        <f>+K91-5</f>
        <v>31</v>
      </c>
      <c r="Q91" s="88">
        <f>+Q87+O91</f>
        <v>0.36997804071313839</v>
      </c>
      <c r="R91" s="91">
        <f>+O91/$Q$91</f>
        <v>2.5430163726480656E-2</v>
      </c>
      <c r="T91" s="5">
        <f>+I91*G91</f>
        <v>-9.9000000000000005E-2</v>
      </c>
      <c r="U91" s="92">
        <f>+U87+G91</f>
        <v>169</v>
      </c>
      <c r="V91" s="186"/>
      <c r="W91" s="187"/>
    </row>
    <row r="92" spans="2:23">
      <c r="B92" s="30" t="s">
        <v>130</v>
      </c>
      <c r="C92" s="93" t="s">
        <v>275</v>
      </c>
      <c r="D92" s="295"/>
      <c r="E92" s="31"/>
      <c r="F92" s="31"/>
      <c r="G92" s="31"/>
      <c r="H92" s="31"/>
      <c r="I92" s="31"/>
      <c r="J92" s="31"/>
      <c r="K92" s="95"/>
      <c r="L92" s="95"/>
      <c r="M92" s="31"/>
      <c r="N92" s="96"/>
      <c r="O92" s="31"/>
      <c r="P92" s="31"/>
      <c r="Q92" s="31"/>
      <c r="R92" s="97"/>
      <c r="T92" s="5"/>
    </row>
    <row r="93" spans="2:23">
      <c r="B93" s="135"/>
      <c r="C93" s="99" t="s">
        <v>276</v>
      </c>
      <c r="D93" s="100"/>
      <c r="E93" s="101"/>
      <c r="F93" s="101"/>
      <c r="G93" s="101"/>
      <c r="H93" s="101"/>
      <c r="I93" s="101"/>
      <c r="J93" s="101"/>
      <c r="K93" s="102"/>
      <c r="L93" s="102"/>
      <c r="M93" s="101"/>
      <c r="N93" s="103"/>
      <c r="O93" s="101"/>
      <c r="P93" s="101"/>
      <c r="Q93" s="101"/>
      <c r="R93" s="104"/>
      <c r="T93" s="5"/>
    </row>
    <row r="94" spans="2:23">
      <c r="C94" s="77"/>
      <c r="E94" s="77"/>
    </row>
    <row r="95" spans="2:23">
      <c r="C95" s="77"/>
      <c r="E95" s="77"/>
    </row>
    <row r="96" spans="2:23">
      <c r="C96" s="77"/>
    </row>
    <row r="97" spans="3:14">
      <c r="C97" s="77"/>
    </row>
    <row r="98" spans="3:14">
      <c r="C98" s="77"/>
    </row>
    <row r="100" spans="3:14">
      <c r="N100" s="219"/>
    </row>
    <row r="120" spans="2:29">
      <c r="B120" s="219"/>
    </row>
    <row r="123" spans="2:29">
      <c r="N123" s="14"/>
      <c r="P123" s="220"/>
      <c r="Q123" s="14"/>
      <c r="S123" s="221"/>
      <c r="T123" s="221"/>
      <c r="U123" s="222"/>
      <c r="V123" s="221"/>
      <c r="W123" s="221"/>
      <c r="X123" s="14"/>
      <c r="Y123" s="14"/>
      <c r="Z123" s="220"/>
      <c r="AA123" s="220"/>
      <c r="AB123" s="220"/>
      <c r="AC123" s="220"/>
    </row>
    <row r="124" spans="2:29">
      <c r="S124" s="108"/>
      <c r="T124" s="108"/>
      <c r="Z124" s="223"/>
    </row>
    <row r="125" spans="2:29">
      <c r="P125" s="220"/>
      <c r="S125" s="108"/>
      <c r="T125" s="108"/>
      <c r="W125" s="224"/>
    </row>
    <row r="127" spans="2:29" s="225" customFormat="1" ht="161.25" customHeight="1">
      <c r="B127" s="226" t="s">
        <v>277</v>
      </c>
      <c r="C127" s="226"/>
      <c r="D127" s="226"/>
      <c r="E127" s="226"/>
      <c r="F127" s="226"/>
      <c r="G127" s="226"/>
      <c r="H127" s="226"/>
      <c r="I127" s="226"/>
      <c r="J127" s="226"/>
      <c r="K127" s="226"/>
      <c r="L127" s="226"/>
      <c r="M127" s="226"/>
      <c r="N127" s="226"/>
      <c r="O127" s="226"/>
      <c r="P127" s="226"/>
      <c r="Q127" s="227"/>
      <c r="R127" s="227"/>
      <c r="S127" s="227"/>
      <c r="U127" s="228"/>
    </row>
    <row r="129" spans="1:21" customFormat="1" ht="93" customHeight="1">
      <c r="A129" s="225"/>
      <c r="B129" s="229" t="s">
        <v>278</v>
      </c>
      <c r="C129" s="229"/>
      <c r="D129" s="229"/>
      <c r="E129" s="229"/>
      <c r="F129" s="229"/>
      <c r="G129" s="229"/>
      <c r="H129" s="229"/>
      <c r="I129" s="229"/>
      <c r="J129" s="229"/>
      <c r="K129" s="229"/>
      <c r="L129" s="229"/>
      <c r="M129" s="229"/>
      <c r="N129" s="229"/>
      <c r="O129" s="229"/>
      <c r="P129" s="229"/>
      <c r="Q129" s="230"/>
      <c r="R129" s="230"/>
      <c r="S129" s="230"/>
      <c r="U129" s="231"/>
    </row>
    <row r="130" spans="1:21" customFormat="1" ht="15">
      <c r="U130" s="231"/>
    </row>
    <row r="131" spans="1:21" customFormat="1" ht="92.25" customHeight="1">
      <c r="B131" s="232" t="s">
        <v>279</v>
      </c>
      <c r="C131" s="232"/>
      <c r="D131" s="232"/>
      <c r="E131" s="232"/>
      <c r="F131" s="232"/>
      <c r="G131" s="232"/>
      <c r="H131" s="232"/>
      <c r="I131" s="232"/>
      <c r="J131" s="232"/>
      <c r="K131" s="232"/>
      <c r="L131" s="232"/>
      <c r="M131" s="232"/>
      <c r="N131" s="232"/>
      <c r="O131" s="232"/>
      <c r="P131" s="232"/>
      <c r="Q131" s="227"/>
      <c r="R131" s="227"/>
      <c r="S131" s="227"/>
      <c r="U131" s="231"/>
    </row>
    <row r="132" spans="1:21" customFormat="1" ht="15">
      <c r="U132" s="231"/>
    </row>
    <row r="133" spans="1:21" customFormat="1" ht="47.25" customHeight="1">
      <c r="B133" s="232" t="s">
        <v>280</v>
      </c>
      <c r="C133" s="232"/>
      <c r="D133" s="232"/>
      <c r="E133" s="232"/>
      <c r="F133" s="232"/>
      <c r="G133" s="232"/>
      <c r="H133" s="232"/>
      <c r="I133" s="232"/>
      <c r="J133" s="232"/>
      <c r="K133" s="232"/>
      <c r="L133" s="232"/>
      <c r="M133" s="232"/>
      <c r="N133" s="232"/>
      <c r="O133" s="232"/>
      <c r="P133" s="232"/>
      <c r="Q133" s="233"/>
      <c r="R133" s="233"/>
      <c r="S133" s="233"/>
      <c r="U133" s="231"/>
    </row>
    <row r="134" spans="1:21" customFormat="1" ht="15">
      <c r="U134" s="231"/>
    </row>
    <row r="137" spans="1:21">
      <c r="B137" s="234"/>
    </row>
    <row r="163" spans="2:2">
      <c r="B163" s="234"/>
    </row>
    <row r="165" spans="2:2">
      <c r="B165" s="220"/>
    </row>
  </sheetData>
  <mergeCells count="6">
    <mergeCell ref="V28:W28"/>
    <mergeCell ref="Y28:Z28"/>
    <mergeCell ref="B127:P127"/>
    <mergeCell ref="B129:P129"/>
    <mergeCell ref="B131:P131"/>
    <mergeCell ref="B133:P133"/>
  </mergeCells>
  <hyperlinks>
    <hyperlink ref="F3" r:id="rId1" display="http://climbbybike.com/climb.asp?Col=Col-des-Saisies&amp;qryMountainID=6545"/>
  </hyperlinks>
  <pageMargins left="0.7" right="0.7" top="0.75" bottom="0.75" header="0.3" footer="0.3"/>
  <pageSetup paperSize="9"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dimension ref="A1:AC99"/>
  <sheetViews>
    <sheetView showGridLines="0" zoomScaleNormal="100" workbookViewId="0">
      <selection activeCell="O170" sqref="O170"/>
    </sheetView>
  </sheetViews>
  <sheetFormatPr defaultRowHeight="11.25"/>
  <cols>
    <col min="1" max="1" width="9.140625" style="1"/>
    <col min="2" max="2" width="30.7109375" style="1" customWidth="1"/>
    <col min="3" max="3" width="10.140625" style="1" customWidth="1"/>
    <col min="4" max="10" width="7.7109375" style="1" customWidth="1"/>
    <col min="11" max="11" width="8.42578125" style="1" customWidth="1"/>
    <col min="12" max="12" width="1.28515625" style="1" customWidth="1"/>
    <col min="13" max="13" width="7.7109375" style="1" customWidth="1"/>
    <col min="14" max="14" width="9.42578125" style="1" customWidth="1"/>
    <col min="15" max="16" width="7.7109375" style="1" customWidth="1"/>
    <col min="17" max="17" width="7.5703125" style="1" customWidth="1"/>
    <col min="18" max="18" width="8.140625" style="5" customWidth="1"/>
    <col min="19" max="20" width="9.140625" style="1"/>
    <col min="21" max="21" width="9.140625" style="5"/>
    <col min="22" max="24" width="9.140625" style="1"/>
    <col min="25" max="25" width="9.28515625" style="1" customWidth="1"/>
    <col min="26" max="16384" width="9.140625" style="1"/>
  </cols>
  <sheetData>
    <row r="1" spans="2:26">
      <c r="V1" s="299" t="s">
        <v>59</v>
      </c>
      <c r="W1" s="300"/>
      <c r="Y1" s="299" t="s">
        <v>60</v>
      </c>
      <c r="Z1" s="300"/>
    </row>
    <row r="2" spans="2:26">
      <c r="C2" s="2" t="s">
        <v>205</v>
      </c>
      <c r="D2" s="3"/>
      <c r="F2" s="4" t="s">
        <v>281</v>
      </c>
      <c r="V2" s="1" t="s">
        <v>62</v>
      </c>
      <c r="W2" s="108">
        <v>34</v>
      </c>
      <c r="Y2" s="1" t="s">
        <v>62</v>
      </c>
      <c r="Z2" s="108">
        <v>34</v>
      </c>
    </row>
    <row r="3" spans="2:26">
      <c r="B3" s="6" t="s">
        <v>2</v>
      </c>
      <c r="C3" s="7" t="s">
        <v>282</v>
      </c>
      <c r="D3" s="8"/>
      <c r="F3" s="9" t="s">
        <v>283</v>
      </c>
      <c r="V3" s="106"/>
      <c r="W3" s="133"/>
      <c r="X3" s="106"/>
      <c r="Y3" s="106"/>
      <c r="Z3" s="133"/>
    </row>
    <row r="4" spans="2:26">
      <c r="B4" s="10" t="s">
        <v>5</v>
      </c>
      <c r="C4" s="11" t="s">
        <v>284</v>
      </c>
      <c r="D4" s="12"/>
      <c r="F4" s="13"/>
      <c r="G4" s="14"/>
      <c r="H4" s="14"/>
      <c r="V4" s="1" t="s">
        <v>64</v>
      </c>
      <c r="W4" s="108">
        <f>+W2-1.25</f>
        <v>32.75</v>
      </c>
      <c r="Y4" s="1" t="s">
        <v>64</v>
      </c>
      <c r="Z4" s="108">
        <f>+Z2+1</f>
        <v>35</v>
      </c>
    </row>
    <row r="5" spans="2:26">
      <c r="B5" s="15" t="s">
        <v>7</v>
      </c>
      <c r="C5" s="16">
        <v>12.5</v>
      </c>
      <c r="D5" s="17"/>
      <c r="F5" s="4"/>
      <c r="V5" s="1" t="s">
        <v>67</v>
      </c>
      <c r="W5" s="108">
        <f>+W4-1.25</f>
        <v>31.5</v>
      </c>
      <c r="Y5" s="1" t="s">
        <v>67</v>
      </c>
      <c r="Z5" s="108">
        <f>+Z4+1</f>
        <v>36</v>
      </c>
    </row>
    <row r="6" spans="2:26">
      <c r="B6" s="10" t="s">
        <v>9</v>
      </c>
      <c r="C6" s="11" t="s">
        <v>285</v>
      </c>
      <c r="D6" s="12"/>
      <c r="F6" s="9"/>
      <c r="V6" s="1" t="s">
        <v>69</v>
      </c>
      <c r="W6" s="108">
        <f>+W5-1.25</f>
        <v>30.25</v>
      </c>
      <c r="Y6" s="1" t="s">
        <v>69</v>
      </c>
      <c r="Z6" s="108">
        <f>+Z5+1</f>
        <v>37</v>
      </c>
    </row>
    <row r="7" spans="2:26">
      <c r="B7" s="6" t="s">
        <v>12</v>
      </c>
      <c r="C7" s="7" t="s">
        <v>286</v>
      </c>
      <c r="D7" s="8"/>
      <c r="V7" s="106"/>
      <c r="W7" s="133"/>
      <c r="X7" s="106"/>
      <c r="Y7" s="106"/>
      <c r="Z7" s="133"/>
    </row>
    <row r="8" spans="2:26">
      <c r="B8" s="15" t="s">
        <v>14</v>
      </c>
      <c r="C8" s="16" t="s">
        <v>287</v>
      </c>
      <c r="D8" s="17"/>
      <c r="F8" s="4"/>
      <c r="V8" s="1" t="s">
        <v>71</v>
      </c>
      <c r="W8" s="108">
        <f>+W6-1.25</f>
        <v>29</v>
      </c>
      <c r="Y8" s="1" t="s">
        <v>71</v>
      </c>
      <c r="Z8" s="108">
        <f>+Z6+1</f>
        <v>38</v>
      </c>
    </row>
    <row r="9" spans="2:26">
      <c r="B9" s="10" t="s">
        <v>16</v>
      </c>
      <c r="C9" s="18" t="s">
        <v>288</v>
      </c>
      <c r="D9" s="12"/>
      <c r="F9" s="9"/>
      <c r="V9" s="1" t="s">
        <v>74</v>
      </c>
      <c r="W9" s="108">
        <f>+W8-1.25</f>
        <v>27.75</v>
      </c>
      <c r="Y9" s="1" t="s">
        <v>74</v>
      </c>
      <c r="Z9" s="108">
        <f>+Z8+1</f>
        <v>39</v>
      </c>
    </row>
    <row r="10" spans="2:26">
      <c r="B10" s="6" t="s">
        <v>18</v>
      </c>
      <c r="C10" s="19">
        <f>+(2413-1360)/12500</f>
        <v>8.4239999999999995E-2</v>
      </c>
      <c r="D10" s="8"/>
      <c r="E10" s="13"/>
      <c r="H10" s="20" t="s">
        <v>19</v>
      </c>
      <c r="I10" s="20" t="s">
        <v>20</v>
      </c>
      <c r="J10" s="20" t="s">
        <v>21</v>
      </c>
      <c r="K10" s="20" t="s">
        <v>22</v>
      </c>
      <c r="L10" s="20"/>
      <c r="O10" s="20" t="s">
        <v>19</v>
      </c>
      <c r="P10" s="20" t="s">
        <v>20</v>
      </c>
      <c r="Q10" s="20" t="s">
        <v>21</v>
      </c>
      <c r="R10" s="20" t="s">
        <v>22</v>
      </c>
      <c r="V10" s="1" t="s">
        <v>77</v>
      </c>
      <c r="W10" s="108">
        <f>+W9-1.25</f>
        <v>26.5</v>
      </c>
      <c r="Y10" s="1" t="s">
        <v>77</v>
      </c>
      <c r="Z10" s="108">
        <f>+Z9+1</f>
        <v>40</v>
      </c>
    </row>
    <row r="11" spans="2:26">
      <c r="B11" s="10" t="s">
        <v>23</v>
      </c>
      <c r="C11" s="21">
        <f>+SUMPRODUCT(G19:G29,I19:I29)/SUM(G19:G29)</f>
        <v>8.4239999999999995E-2</v>
      </c>
      <c r="D11" s="12"/>
      <c r="F11" s="22" t="s">
        <v>24</v>
      </c>
      <c r="G11" s="23"/>
      <c r="H11" s="235">
        <f>+SUMIFS(G19:G29,I19:I29,"&gt;=0,0%",I19:I29,"&lt;2,0%")</f>
        <v>0</v>
      </c>
      <c r="I11" s="25">
        <f>+H11/$C$5</f>
        <v>0</v>
      </c>
      <c r="J11" s="26">
        <f>+SUMIFS(J19:J29,I19:I29,"&gt;=0,0%",I19:I29,"&lt;2,0%")</f>
        <v>0</v>
      </c>
      <c r="K11" s="27">
        <f>+J11/M$27</f>
        <v>0</v>
      </c>
      <c r="L11" s="28"/>
      <c r="M11" s="22" t="s">
        <v>25</v>
      </c>
      <c r="N11" s="23"/>
      <c r="O11" s="235">
        <f>+SUMIFS(G19:G29,I19:I29,"&lt;=0,0%",I19:I29,"&gt;-2,0%")</f>
        <v>0</v>
      </c>
      <c r="P11" s="25">
        <f>+O11/$C$5</f>
        <v>0</v>
      </c>
      <c r="Q11" s="26">
        <f>+SUMIFS(J19:J29,I19:I29,"&lt;=0,0%",I19:I29,"&gt;-2,0%")</f>
        <v>0</v>
      </c>
      <c r="R11" s="27">
        <f>+Q11/$Q$27</f>
        <v>0</v>
      </c>
      <c r="V11" s="106"/>
      <c r="W11" s="133"/>
      <c r="X11" s="106"/>
      <c r="Y11" s="106"/>
      <c r="Z11" s="133"/>
    </row>
    <row r="12" spans="2:26">
      <c r="B12" s="15" t="s">
        <v>26</v>
      </c>
      <c r="C12" s="29">
        <f>+SUMIF(T19:T29,"&gt;0",T19:T29)/(SUMIF(I19:I29,"&gt;0",G19:G29))</f>
        <v>8.4239999999999995E-2</v>
      </c>
      <c r="D12" s="17"/>
      <c r="F12" s="30" t="s">
        <v>27</v>
      </c>
      <c r="G12" s="31"/>
      <c r="H12" s="236">
        <f>+SUMIFS(G19:G29,I19:I29,"&gt;=2,0%",I19:I29,"&lt;3,0%")</f>
        <v>1</v>
      </c>
      <c r="I12" s="28">
        <f t="shared" ref="I12:I15" si="0">+H12/$C$5</f>
        <v>0.08</v>
      </c>
      <c r="J12" s="33">
        <f>+SUMIFS(J19:J29,I19:I29,"&gt;=2,0%",I19:I29,"&lt;3,0%")</f>
        <v>1.4367816091954023E-3</v>
      </c>
      <c r="K12" s="34">
        <f t="shared" ref="K12:K15" si="1">+J12/M$27</f>
        <v>3.6011080332409968E-2</v>
      </c>
      <c r="L12" s="28"/>
      <c r="M12" s="30" t="s">
        <v>28</v>
      </c>
      <c r="N12" s="31"/>
      <c r="O12" s="236">
        <f>+SUMIFS(G19:G29,I19:I29,"&lt;=-2,0%",I19:I29,"&gt;-3,0%")</f>
        <v>0</v>
      </c>
      <c r="P12" s="28">
        <f t="shared" ref="P12:P15" si="2">+O12/$C$5</f>
        <v>0</v>
      </c>
      <c r="Q12" s="33">
        <f>+SUMIFS(J19:J29,I19:I29,"&lt;=-2,0%",I19:I29,"&gt;-3,0%")</f>
        <v>0</v>
      </c>
      <c r="R12" s="34">
        <f t="shared" ref="R12:R15" si="3">+Q12/$Q$27</f>
        <v>0</v>
      </c>
      <c r="V12" s="1" t="s">
        <v>79</v>
      </c>
      <c r="W12" s="108">
        <f>+W10-1.25</f>
        <v>25.25</v>
      </c>
      <c r="Y12" s="1" t="s">
        <v>79</v>
      </c>
      <c r="Z12" s="108">
        <f>+Z10+1</f>
        <v>41</v>
      </c>
    </row>
    <row r="13" spans="2:26">
      <c r="B13" s="10" t="s">
        <v>29</v>
      </c>
      <c r="C13" s="35">
        <f>+SUMIF(I19:I29,"&gt;0",G19:G29)</f>
        <v>12.5</v>
      </c>
      <c r="D13" s="12"/>
      <c r="F13" s="36" t="s">
        <v>30</v>
      </c>
      <c r="G13" s="37"/>
      <c r="H13" s="237">
        <f>+SUMIFS(G19:G29,I19:I29,"&gt;=3,0%",I19:I29,"&lt;5,0%")</f>
        <v>0</v>
      </c>
      <c r="I13" s="39">
        <f t="shared" si="0"/>
        <v>0</v>
      </c>
      <c r="J13" s="40">
        <f>+SUMIFS(J19:J29,I19:I29,"&gt;=3,0%",I19:I29,"&lt;5,0%")</f>
        <v>0</v>
      </c>
      <c r="K13" s="41">
        <f t="shared" si="1"/>
        <v>0</v>
      </c>
      <c r="L13" s="28"/>
      <c r="M13" s="42" t="s">
        <v>31</v>
      </c>
      <c r="N13" s="43"/>
      <c r="O13" s="238">
        <f>+SUMIFS(G19:G29,I19:I29,"&lt;=-3,0%",I19:I29,"&gt;-5,0%")</f>
        <v>0</v>
      </c>
      <c r="P13" s="45">
        <f t="shared" si="2"/>
        <v>0</v>
      </c>
      <c r="Q13" s="46">
        <f>+SUMIFS(J19:J29,I19:I29,"&lt;=-3,0%",I19:I29,"&gt;-5,0%")</f>
        <v>0</v>
      </c>
      <c r="R13" s="47">
        <f t="shared" si="3"/>
        <v>0</v>
      </c>
      <c r="V13" s="1" t="s">
        <v>82</v>
      </c>
      <c r="W13" s="108">
        <f>+W12-1.25</f>
        <v>24</v>
      </c>
      <c r="Y13" s="1" t="s">
        <v>82</v>
      </c>
      <c r="Z13" s="108">
        <f>+Z12+1</f>
        <v>42</v>
      </c>
    </row>
    <row r="14" spans="2:26">
      <c r="B14" s="15" t="s">
        <v>32</v>
      </c>
      <c r="C14" s="29" t="e">
        <f>+SUMIF(T19:T29,"&lt;0",T19:T29)/(SUMIF(I19:I29,"&lt;0",G19:G29))</f>
        <v>#DIV/0!</v>
      </c>
      <c r="D14" s="17"/>
      <c r="F14" s="48" t="s">
        <v>33</v>
      </c>
      <c r="G14" s="49"/>
      <c r="H14" s="239">
        <f>+SUMIFS(G19:G29,I19:I29,"&gt;=5%",I19:I29,"&lt;7%")</f>
        <v>0</v>
      </c>
      <c r="I14" s="51">
        <f t="shared" si="0"/>
        <v>0</v>
      </c>
      <c r="J14" s="52">
        <f>+SUMIFS(J19:J29,I19:I29,"&gt;=5%",I19:I29,"&lt;7%")</f>
        <v>0</v>
      </c>
      <c r="K14" s="53">
        <f t="shared" si="1"/>
        <v>0</v>
      </c>
      <c r="L14" s="28"/>
      <c r="M14" s="54" t="s">
        <v>34</v>
      </c>
      <c r="N14" s="55"/>
      <c r="O14" s="240">
        <f>+SUMIFS(G19:G29,I19:I29,"&lt;=-5%",I19:I29,"&gt;-7%")</f>
        <v>0</v>
      </c>
      <c r="P14" s="57">
        <f t="shared" si="2"/>
        <v>0</v>
      </c>
      <c r="Q14" s="58">
        <f>+SUMIFS(J19:J29,I19:I29,"&lt;=-5%",I19:I29,"&gt;-7%")</f>
        <v>0</v>
      </c>
      <c r="R14" s="59">
        <f t="shared" si="3"/>
        <v>0</v>
      </c>
      <c r="V14" s="1" t="s">
        <v>84</v>
      </c>
      <c r="W14" s="108">
        <f>+W13-1.25</f>
        <v>22.75</v>
      </c>
      <c r="Y14" s="1" t="s">
        <v>84</v>
      </c>
      <c r="Z14" s="108">
        <f>+Z13+1</f>
        <v>43</v>
      </c>
    </row>
    <row r="15" spans="2:26">
      <c r="B15" s="10" t="s">
        <v>35</v>
      </c>
      <c r="C15" s="35">
        <f>+SUMIF(I19:I29,"&lt;0",G19:G29)</f>
        <v>0</v>
      </c>
      <c r="D15" s="12"/>
      <c r="F15" s="60" t="s">
        <v>36</v>
      </c>
      <c r="G15" s="61"/>
      <c r="H15" s="241">
        <f>+SUMIFS(G19:G29,I19:I29,"&gt;=7%")</f>
        <v>11.5</v>
      </c>
      <c r="I15" s="63">
        <f t="shared" si="0"/>
        <v>0.92</v>
      </c>
      <c r="J15" s="64">
        <f>+SUMIFS(J19:J29,I19:I29,"&gt;=7%")</f>
        <v>3.8461538461538464E-2</v>
      </c>
      <c r="K15" s="65">
        <f t="shared" si="1"/>
        <v>0.96398891966759004</v>
      </c>
      <c r="L15" s="66"/>
      <c r="M15" s="67" t="s">
        <v>37</v>
      </c>
      <c r="N15" s="68"/>
      <c r="O15" s="242">
        <f>+SUMIFS(G19:G29,I19:I29,"&lt;=-7%")</f>
        <v>0</v>
      </c>
      <c r="P15" s="70">
        <f t="shared" si="2"/>
        <v>0</v>
      </c>
      <c r="Q15" s="71">
        <f>+SUMIFS(J19:J29,I19:I29,"&lt;=-7%")</f>
        <v>0</v>
      </c>
      <c r="R15" s="72">
        <f t="shared" si="3"/>
        <v>0</v>
      </c>
      <c r="V15" s="106"/>
      <c r="W15" s="133"/>
      <c r="X15" s="106"/>
      <c r="Y15" s="106"/>
      <c r="Z15" s="133"/>
    </row>
    <row r="16" spans="2:26">
      <c r="H16" s="243">
        <f>+SUM(H11:H15)</f>
        <v>12.5</v>
      </c>
      <c r="I16" s="74">
        <f>+SUM(I11:I15)</f>
        <v>1</v>
      </c>
      <c r="J16" s="75">
        <f>+SUM(J11:J15)</f>
        <v>3.9898320070733864E-2</v>
      </c>
      <c r="K16" s="74">
        <f>+SUM(K11:K15)</f>
        <v>1</v>
      </c>
      <c r="L16" s="76"/>
      <c r="O16" s="243">
        <f>+SUM(O11:O15)</f>
        <v>0</v>
      </c>
      <c r="P16" s="74">
        <f>+SUM(P11:P15)</f>
        <v>0</v>
      </c>
      <c r="Q16" s="75">
        <f>+SUM(Q11:Q15)</f>
        <v>0</v>
      </c>
      <c r="R16" s="74">
        <f>+SUM(R11:R15)</f>
        <v>0</v>
      </c>
      <c r="V16" s="1" t="s">
        <v>86</v>
      </c>
      <c r="W16" s="108">
        <f>+W14-1.25</f>
        <v>21.5</v>
      </c>
      <c r="Y16" s="1" t="s">
        <v>86</v>
      </c>
      <c r="Z16" s="108">
        <f>+Z14+1.25</f>
        <v>44.25</v>
      </c>
    </row>
    <row r="17" spans="2:26">
      <c r="C17" s="77"/>
      <c r="V17" s="1" t="s">
        <v>87</v>
      </c>
      <c r="W17" s="108">
        <f>+W16-1.25</f>
        <v>20.25</v>
      </c>
      <c r="Y17" s="1" t="s">
        <v>87</v>
      </c>
      <c r="Z17" s="108">
        <f>+Z16+1.25</f>
        <v>45.5</v>
      </c>
    </row>
    <row r="18" spans="2:26">
      <c r="B18" s="78" t="s">
        <v>38</v>
      </c>
      <c r="C18" s="78" t="s">
        <v>39</v>
      </c>
      <c r="D18" s="78" t="s">
        <v>40</v>
      </c>
      <c r="E18" s="78" t="s">
        <v>41</v>
      </c>
      <c r="F18" s="78" t="s">
        <v>42</v>
      </c>
      <c r="G18" s="79" t="s">
        <v>43</v>
      </c>
      <c r="H18" s="79" t="s">
        <v>44</v>
      </c>
      <c r="I18" s="80" t="s">
        <v>45</v>
      </c>
      <c r="J18" s="81" t="s">
        <v>46</v>
      </c>
      <c r="K18" s="82" t="s">
        <v>47</v>
      </c>
      <c r="L18" s="82"/>
      <c r="M18" s="82" t="s">
        <v>48</v>
      </c>
      <c r="N18" s="83" t="s">
        <v>22</v>
      </c>
      <c r="O18" s="81" t="s">
        <v>49</v>
      </c>
      <c r="P18" s="82" t="s">
        <v>50</v>
      </c>
      <c r="Q18" s="82" t="s">
        <v>51</v>
      </c>
      <c r="R18" s="83" t="s">
        <v>22</v>
      </c>
      <c r="T18" s="5"/>
      <c r="V18" s="1" t="s">
        <v>89</v>
      </c>
      <c r="W18" s="108">
        <f>+W17-1.25</f>
        <v>19</v>
      </c>
      <c r="Y18" s="1" t="s">
        <v>89</v>
      </c>
      <c r="Z18" s="108">
        <f>+Z17+1.25</f>
        <v>46.75</v>
      </c>
    </row>
    <row r="19" spans="2:26">
      <c r="B19" s="84" t="s">
        <v>289</v>
      </c>
      <c r="C19" s="85">
        <v>0</v>
      </c>
      <c r="D19" s="85">
        <v>1</v>
      </c>
      <c r="E19" s="86">
        <v>1360</v>
      </c>
      <c r="F19" s="86">
        <v>1380</v>
      </c>
      <c r="G19" s="85">
        <f>+D19-C19</f>
        <v>1</v>
      </c>
      <c r="H19" s="85">
        <f>+F19-E19</f>
        <v>20</v>
      </c>
      <c r="I19" s="87">
        <f>+H19/(G19*1000)</f>
        <v>0.02</v>
      </c>
      <c r="J19" s="88">
        <f>+($D19-$C19)/K19/24</f>
        <v>1.4367816091954023E-3</v>
      </c>
      <c r="K19" s="89">
        <v>29</v>
      </c>
      <c r="L19" s="89"/>
      <c r="M19" s="88">
        <f>+J19</f>
        <v>1.4367816091954023E-3</v>
      </c>
      <c r="N19" s="90">
        <f>+J19/M$27</f>
        <v>3.6011080332409968E-2</v>
      </c>
      <c r="O19" s="88">
        <f>+($D19-$C19)/P19/24</f>
        <v>1.736111111111111E-3</v>
      </c>
      <c r="P19" s="89">
        <f>+K19-5</f>
        <v>24</v>
      </c>
      <c r="Q19" s="88">
        <f>+O19</f>
        <v>1.736111111111111E-3</v>
      </c>
      <c r="R19" s="91">
        <f>+O19/$Q$27</f>
        <v>2.6266416510318948E-2</v>
      </c>
      <c r="T19" s="5">
        <f>+I19*G19</f>
        <v>0.02</v>
      </c>
      <c r="U19" s="92">
        <f>+G19</f>
        <v>1</v>
      </c>
      <c r="V19" s="1" t="s">
        <v>91</v>
      </c>
      <c r="W19" s="108">
        <f>+W18-1.25</f>
        <v>17.75</v>
      </c>
      <c r="Y19" s="1" t="s">
        <v>91</v>
      </c>
      <c r="Z19" s="108">
        <f>+Z18+1.25</f>
        <v>48</v>
      </c>
    </row>
    <row r="20" spans="2:26">
      <c r="B20" s="30" t="s">
        <v>290</v>
      </c>
      <c r="C20" s="93" t="s">
        <v>291</v>
      </c>
      <c r="D20" s="94"/>
      <c r="E20" s="31"/>
      <c r="F20" s="31"/>
      <c r="G20" s="31"/>
      <c r="H20" s="31"/>
      <c r="I20" s="31"/>
      <c r="J20" s="31"/>
      <c r="K20" s="95"/>
      <c r="L20" s="95"/>
      <c r="M20" s="31"/>
      <c r="N20" s="96"/>
      <c r="O20" s="31"/>
      <c r="P20" s="31"/>
      <c r="Q20" s="31"/>
      <c r="R20" s="97"/>
      <c r="T20" s="5"/>
      <c r="V20" s="1" t="s">
        <v>94</v>
      </c>
      <c r="W20" s="108">
        <f>+W19-1.25</f>
        <v>16.5</v>
      </c>
      <c r="Y20" s="1" t="s">
        <v>94</v>
      </c>
      <c r="Z20" s="108">
        <f>+Z19+1.25</f>
        <v>49.25</v>
      </c>
    </row>
    <row r="21" spans="2:26">
      <c r="B21" s="135" t="s">
        <v>75</v>
      </c>
      <c r="C21" s="99" t="s">
        <v>292</v>
      </c>
      <c r="D21" s="100"/>
      <c r="E21" s="101"/>
      <c r="F21" s="101"/>
      <c r="G21" s="101"/>
      <c r="H21" s="101"/>
      <c r="I21" s="101"/>
      <c r="J21" s="101"/>
      <c r="K21" s="102"/>
      <c r="L21" s="102"/>
      <c r="M21" s="101"/>
      <c r="N21" s="103"/>
      <c r="O21" s="101"/>
      <c r="P21" s="101"/>
      <c r="Q21" s="101"/>
      <c r="R21" s="104"/>
      <c r="T21" s="5"/>
      <c r="V21" s="1" t="s">
        <v>96</v>
      </c>
      <c r="W21" s="108">
        <f>+W20-1.25</f>
        <v>15.25</v>
      </c>
      <c r="Y21" s="1" t="s">
        <v>96</v>
      </c>
      <c r="Z21" s="108">
        <f>+Z20+1.25</f>
        <v>50.5</v>
      </c>
    </row>
    <row r="22" spans="2:26" s="106" customFormat="1" ht="4.5" customHeight="1">
      <c r="B22" s="105"/>
      <c r="C22" s="93"/>
      <c r="D22" s="94"/>
      <c r="E22" s="31"/>
      <c r="F22" s="31"/>
      <c r="G22" s="31"/>
      <c r="H22" s="31"/>
      <c r="I22" s="31"/>
      <c r="J22" s="31"/>
      <c r="K22" s="95"/>
      <c r="L22" s="95"/>
      <c r="M22" s="31"/>
      <c r="N22" s="96"/>
      <c r="O22" s="31"/>
      <c r="P22" s="31"/>
      <c r="Q22" s="31"/>
      <c r="R22" s="96"/>
      <c r="T22" s="107"/>
      <c r="U22" s="107"/>
    </row>
    <row r="23" spans="2:26">
      <c r="B23" s="301" t="s">
        <v>293</v>
      </c>
      <c r="C23" s="302">
        <f>+D19</f>
        <v>1</v>
      </c>
      <c r="D23" s="302">
        <v>6.5</v>
      </c>
      <c r="E23" s="303">
        <f>+F19</f>
        <v>1380</v>
      </c>
      <c r="F23" s="303">
        <v>1860</v>
      </c>
      <c r="G23" s="302">
        <f>+D23-C23</f>
        <v>5.5</v>
      </c>
      <c r="H23" s="302">
        <f>+F23-E23</f>
        <v>480</v>
      </c>
      <c r="I23" s="304">
        <f>+H23/(G23*1000)</f>
        <v>8.727272727272728E-2</v>
      </c>
      <c r="J23" s="305">
        <f>+($D23-$C23)/K23/24</f>
        <v>1.7628205128205128E-2</v>
      </c>
      <c r="K23" s="306">
        <v>13</v>
      </c>
      <c r="L23" s="306"/>
      <c r="M23" s="305">
        <f>+M19+J23</f>
        <v>1.9064986737400529E-2</v>
      </c>
      <c r="N23" s="307">
        <f>+J23/M$27</f>
        <v>0.44182825484764543</v>
      </c>
      <c r="O23" s="305">
        <f>+($D23-$C23)/P23/24</f>
        <v>2.8645833333333332E-2</v>
      </c>
      <c r="P23" s="306">
        <f>+K23-5</f>
        <v>8</v>
      </c>
      <c r="Q23" s="305">
        <f>+Q19+O23</f>
        <v>3.0381944444444444E-2</v>
      </c>
      <c r="R23" s="308">
        <f>+O23/$Q$27</f>
        <v>0.43339587242026262</v>
      </c>
      <c r="T23" s="5">
        <f>+I23*G23</f>
        <v>0.48000000000000004</v>
      </c>
      <c r="U23" s="92">
        <f>+U19+G23</f>
        <v>6.5</v>
      </c>
      <c r="V23" s="1" t="s">
        <v>98</v>
      </c>
      <c r="W23" s="108">
        <f>+W21-1.25</f>
        <v>14</v>
      </c>
      <c r="Y23" s="1" t="s">
        <v>98</v>
      </c>
      <c r="Z23" s="108">
        <f>+Z21+1.25</f>
        <v>51.75</v>
      </c>
    </row>
    <row r="24" spans="2:26">
      <c r="B24" s="309" t="s">
        <v>221</v>
      </c>
      <c r="C24" s="310" t="s">
        <v>294</v>
      </c>
      <c r="D24" s="311"/>
      <c r="E24" s="312"/>
      <c r="F24" s="312"/>
      <c r="G24" s="312"/>
      <c r="H24" s="312"/>
      <c r="I24" s="312"/>
      <c r="J24" s="312"/>
      <c r="K24" s="313"/>
      <c r="L24" s="313"/>
      <c r="M24" s="312"/>
      <c r="N24" s="314"/>
      <c r="O24" s="312"/>
      <c r="P24" s="312"/>
      <c r="Q24" s="312"/>
      <c r="R24" s="315"/>
      <c r="T24" s="5"/>
      <c r="V24" s="1" t="s">
        <v>99</v>
      </c>
      <c r="W24" s="108">
        <f>+W23-1.25</f>
        <v>12.75</v>
      </c>
      <c r="Y24" s="1" t="s">
        <v>99</v>
      </c>
      <c r="Z24" s="108">
        <f>+Z23+1.25</f>
        <v>53</v>
      </c>
    </row>
    <row r="25" spans="2:26">
      <c r="B25" s="316"/>
      <c r="C25" s="317" t="s">
        <v>295</v>
      </c>
      <c r="D25" s="318"/>
      <c r="E25" s="319"/>
      <c r="F25" s="319"/>
      <c r="G25" s="319"/>
      <c r="H25" s="319"/>
      <c r="I25" s="319"/>
      <c r="J25" s="319"/>
      <c r="K25" s="320"/>
      <c r="L25" s="320"/>
      <c r="M25" s="319"/>
      <c r="N25" s="321"/>
      <c r="O25" s="319"/>
      <c r="P25" s="319"/>
      <c r="Q25" s="319"/>
      <c r="R25" s="322"/>
      <c r="T25" s="5"/>
      <c r="V25" s="1" t="s">
        <v>100</v>
      </c>
      <c r="W25" s="108">
        <f>+W24-1.25</f>
        <v>11.5</v>
      </c>
      <c r="Y25" s="1" t="s">
        <v>100</v>
      </c>
      <c r="Z25" s="108">
        <f>+Z24+1.25</f>
        <v>54.25</v>
      </c>
    </row>
    <row r="26" spans="2:26" s="106" customFormat="1" ht="4.5" customHeight="1">
      <c r="B26" s="105"/>
      <c r="C26" s="93"/>
      <c r="D26" s="94"/>
      <c r="E26" s="31"/>
      <c r="F26" s="31"/>
      <c r="G26" s="31"/>
      <c r="H26" s="31"/>
      <c r="I26" s="31"/>
      <c r="J26" s="31"/>
      <c r="K26" s="95"/>
      <c r="L26" s="95"/>
      <c r="M26" s="31"/>
      <c r="N26" s="96"/>
      <c r="O26" s="31"/>
      <c r="P26" s="31"/>
      <c r="Q26" s="31"/>
      <c r="R26" s="96"/>
      <c r="T26" s="107"/>
      <c r="U26" s="107"/>
    </row>
    <row r="27" spans="2:26">
      <c r="B27" s="301" t="s">
        <v>296</v>
      </c>
      <c r="C27" s="302">
        <f>+D23</f>
        <v>6.5</v>
      </c>
      <c r="D27" s="302">
        <v>12.5</v>
      </c>
      <c r="E27" s="303">
        <f>+F23</f>
        <v>1860</v>
      </c>
      <c r="F27" s="303">
        <v>2413</v>
      </c>
      <c r="G27" s="302">
        <f>+D27-C27</f>
        <v>6</v>
      </c>
      <c r="H27" s="302">
        <f>+F27-E27</f>
        <v>553</v>
      </c>
      <c r="I27" s="304">
        <f>+H27/(G27*1000)</f>
        <v>9.2166666666666661E-2</v>
      </c>
      <c r="J27" s="305">
        <f>+($D27-$C27)/K27/24</f>
        <v>2.0833333333333332E-2</v>
      </c>
      <c r="K27" s="306">
        <v>12</v>
      </c>
      <c r="L27" s="306"/>
      <c r="M27" s="305">
        <f>+M23+J27</f>
        <v>3.9898320070733864E-2</v>
      </c>
      <c r="N27" s="307">
        <f>+J27/M$27</f>
        <v>0.52216066481994461</v>
      </c>
      <c r="O27" s="305">
        <f>+($D27-$C27)/P27/24</f>
        <v>3.5714285714285712E-2</v>
      </c>
      <c r="P27" s="306">
        <f>+K27-5</f>
        <v>7</v>
      </c>
      <c r="Q27" s="305">
        <f>+Q23+O27</f>
        <v>6.609623015873016E-2</v>
      </c>
      <c r="R27" s="308">
        <f>+O27/$Q$27</f>
        <v>0.5403377110694183</v>
      </c>
      <c r="T27" s="5">
        <f>+I27*G27</f>
        <v>0.55299999999999994</v>
      </c>
      <c r="U27" s="92">
        <f>+U23+G27</f>
        <v>12.5</v>
      </c>
      <c r="V27" s="1" t="s">
        <v>102</v>
      </c>
      <c r="W27" s="108">
        <f>+W25-1.25</f>
        <v>10.25</v>
      </c>
      <c r="Y27" s="1" t="s">
        <v>102</v>
      </c>
      <c r="Z27" s="108">
        <f>+Z25+1.25</f>
        <v>55.5</v>
      </c>
    </row>
    <row r="28" spans="2:26">
      <c r="B28" s="309" t="s">
        <v>225</v>
      </c>
      <c r="C28" s="310" t="s">
        <v>297</v>
      </c>
      <c r="D28" s="311"/>
      <c r="E28" s="312"/>
      <c r="F28" s="312"/>
      <c r="G28" s="312"/>
      <c r="H28" s="312"/>
      <c r="I28" s="312"/>
      <c r="J28" s="312"/>
      <c r="K28" s="313"/>
      <c r="L28" s="313"/>
      <c r="M28" s="312"/>
      <c r="N28" s="314"/>
      <c r="O28" s="312"/>
      <c r="P28" s="312"/>
      <c r="Q28" s="312"/>
      <c r="R28" s="315"/>
      <c r="T28" s="5"/>
    </row>
    <row r="29" spans="2:26">
      <c r="B29" s="316" t="s">
        <v>135</v>
      </c>
      <c r="C29" s="317" t="s">
        <v>298</v>
      </c>
      <c r="D29" s="318"/>
      <c r="E29" s="319"/>
      <c r="F29" s="319"/>
      <c r="G29" s="319"/>
      <c r="H29" s="319"/>
      <c r="I29" s="319"/>
      <c r="J29" s="319"/>
      <c r="K29" s="320"/>
      <c r="L29" s="320"/>
      <c r="M29" s="319"/>
      <c r="N29" s="321"/>
      <c r="O29" s="319"/>
      <c r="P29" s="319"/>
      <c r="Q29" s="319"/>
      <c r="R29" s="322"/>
      <c r="T29" s="5"/>
    </row>
    <row r="30" spans="2:26">
      <c r="C30" s="77"/>
      <c r="E30" s="77"/>
    </row>
    <row r="31" spans="2:26">
      <c r="C31" s="77"/>
      <c r="E31" s="77"/>
    </row>
    <row r="32" spans="2:26">
      <c r="C32" s="77"/>
    </row>
    <row r="33" spans="3:14">
      <c r="C33" s="77"/>
    </row>
    <row r="34" spans="3:14">
      <c r="C34" s="77"/>
    </row>
    <row r="36" spans="3:14">
      <c r="N36" s="219"/>
    </row>
    <row r="56" spans="2:29">
      <c r="B56" s="219"/>
    </row>
    <row r="59" spans="2:29">
      <c r="N59" s="14"/>
      <c r="P59" s="220"/>
      <c r="Q59" s="14"/>
      <c r="S59" s="221"/>
      <c r="T59" s="221"/>
      <c r="U59" s="222"/>
      <c r="V59" s="221"/>
      <c r="W59" s="221"/>
      <c r="X59" s="14"/>
      <c r="Y59" s="14"/>
      <c r="Z59" s="220"/>
      <c r="AA59" s="220"/>
      <c r="AB59" s="220"/>
      <c r="AC59" s="220"/>
    </row>
    <row r="60" spans="2:29">
      <c r="S60" s="108"/>
      <c r="T60" s="108"/>
      <c r="Z60" s="223"/>
    </row>
    <row r="61" spans="2:29">
      <c r="P61" s="220"/>
      <c r="S61" s="108"/>
      <c r="T61" s="108"/>
      <c r="W61" s="224"/>
    </row>
    <row r="63" spans="2:29" s="225" customFormat="1" ht="47.25" customHeight="1">
      <c r="B63" s="226" t="s">
        <v>299</v>
      </c>
      <c r="C63" s="226"/>
      <c r="D63" s="226"/>
      <c r="E63" s="226"/>
      <c r="F63" s="226"/>
      <c r="G63" s="226"/>
      <c r="H63" s="226"/>
      <c r="I63" s="226"/>
      <c r="J63" s="226"/>
      <c r="K63" s="226"/>
      <c r="L63" s="226"/>
      <c r="M63" s="226"/>
      <c r="N63" s="226"/>
      <c r="O63" s="226"/>
      <c r="P63" s="226"/>
      <c r="Q63" s="227"/>
      <c r="R63" s="227"/>
      <c r="S63" s="227"/>
      <c r="U63" s="228"/>
    </row>
    <row r="65" spans="1:21" customFormat="1" ht="116.25" customHeight="1">
      <c r="A65" s="225"/>
      <c r="B65" s="229" t="s">
        <v>300</v>
      </c>
      <c r="C65" s="229"/>
      <c r="D65" s="229"/>
      <c r="E65" s="229"/>
      <c r="F65" s="229"/>
      <c r="G65" s="229"/>
      <c r="H65" s="229"/>
      <c r="I65" s="229"/>
      <c r="J65" s="229"/>
      <c r="K65" s="229"/>
      <c r="L65" s="229"/>
      <c r="M65" s="229"/>
      <c r="N65" s="229"/>
      <c r="O65" s="229"/>
      <c r="P65" s="229"/>
      <c r="Q65" s="230"/>
      <c r="R65" s="230"/>
      <c r="S65" s="230"/>
      <c r="U65" s="231"/>
    </row>
    <row r="66" spans="1:21" customFormat="1" ht="15">
      <c r="U66" s="231"/>
    </row>
    <row r="67" spans="1:21" customFormat="1" ht="80.25" customHeight="1">
      <c r="B67" s="232" t="s">
        <v>301</v>
      </c>
      <c r="C67" s="232"/>
      <c r="D67" s="232"/>
      <c r="E67" s="232"/>
      <c r="F67" s="232"/>
      <c r="G67" s="232"/>
      <c r="H67" s="232"/>
      <c r="I67" s="232"/>
      <c r="J67" s="232"/>
      <c r="K67" s="232"/>
      <c r="L67" s="232"/>
      <c r="M67" s="232"/>
      <c r="N67" s="232"/>
      <c r="O67" s="232"/>
      <c r="P67" s="232"/>
      <c r="Q67" s="227"/>
      <c r="R67" s="227"/>
      <c r="S67" s="227"/>
      <c r="U67" s="231"/>
    </row>
    <row r="68" spans="1:21" customFormat="1" ht="15">
      <c r="U68" s="231"/>
    </row>
    <row r="71" spans="1:21">
      <c r="B71" s="234"/>
    </row>
    <row r="97" spans="2:2">
      <c r="B97" s="234"/>
    </row>
    <row r="99" spans="2:2">
      <c r="B99" s="220"/>
    </row>
  </sheetData>
  <mergeCells count="3">
    <mergeCell ref="B63:P63"/>
    <mergeCell ref="B65:P65"/>
    <mergeCell ref="B67:P67"/>
  </mergeCells>
  <hyperlinks>
    <hyperlink ref="F3" r:id="rId1" display="http://climbbybike.com/climb.asp?Col=Col-des-Saisies&amp;qryMountainID=6545"/>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dimension ref="B2:C25"/>
  <sheetViews>
    <sheetView workbookViewId="0">
      <selection activeCell="O170" sqref="O170"/>
    </sheetView>
  </sheetViews>
  <sheetFormatPr defaultRowHeight="15"/>
  <cols>
    <col min="2" max="2" width="3" bestFit="1" customWidth="1"/>
  </cols>
  <sheetData>
    <row r="2" spans="2:3">
      <c r="B2">
        <v>1</v>
      </c>
      <c r="C2" t="s">
        <v>302</v>
      </c>
    </row>
    <row r="3" spans="2:3">
      <c r="C3" t="s">
        <v>303</v>
      </c>
    </row>
    <row r="5" spans="2:3">
      <c r="B5">
        <v>2</v>
      </c>
      <c r="C5" t="s">
        <v>304</v>
      </c>
    </row>
    <row r="7" spans="2:3">
      <c r="B7">
        <v>3</v>
      </c>
      <c r="C7" t="s">
        <v>305</v>
      </c>
    </row>
    <row r="8" spans="2:3">
      <c r="C8" t="s">
        <v>306</v>
      </c>
    </row>
    <row r="10" spans="2:3">
      <c r="B10">
        <v>4</v>
      </c>
      <c r="C10" t="s">
        <v>307</v>
      </c>
    </row>
    <row r="12" spans="2:3">
      <c r="B12">
        <v>5</v>
      </c>
      <c r="C12" t="s">
        <v>308</v>
      </c>
    </row>
    <row r="14" spans="2:3">
      <c r="B14">
        <v>6</v>
      </c>
      <c r="C14" t="s">
        <v>309</v>
      </c>
    </row>
    <row r="15" spans="2:3">
      <c r="C15" t="s">
        <v>310</v>
      </c>
    </row>
    <row r="16" spans="2:3">
      <c r="C16" t="s">
        <v>311</v>
      </c>
    </row>
    <row r="17" spans="2:3">
      <c r="C17" t="s">
        <v>312</v>
      </c>
    </row>
    <row r="19" spans="2:3">
      <c r="B19">
        <v>7</v>
      </c>
      <c r="C19" t="s">
        <v>313</v>
      </c>
    </row>
    <row r="21" spans="2:3">
      <c r="B21">
        <v>8</v>
      </c>
      <c r="C21" t="s">
        <v>314</v>
      </c>
    </row>
    <row r="23" spans="2:3">
      <c r="B23">
        <v>9</v>
      </c>
      <c r="C23" t="s">
        <v>315</v>
      </c>
    </row>
    <row r="25" spans="2:3">
      <c r="B25">
        <v>10</v>
      </c>
      <c r="C25" t="s">
        <v>316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stage1</vt:lpstr>
      <vt:lpstr>stage2</vt:lpstr>
      <vt:lpstr>stage3</vt:lpstr>
      <vt:lpstr>stage4</vt:lpstr>
      <vt:lpstr>notas gerais</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migalhas</dc:creator>
  <cp:lastModifiedBy>migalhas</cp:lastModifiedBy>
  <dcterms:created xsi:type="dcterms:W3CDTF">2011-08-19T01:18:37Z</dcterms:created>
  <dcterms:modified xsi:type="dcterms:W3CDTF">2011-08-19T01:19:16Z</dcterms:modified>
</cp:coreProperties>
</file>